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3900" tabRatio="599" activeTab="0"/>
  </bookViews>
  <sheets>
    <sheet name="Resident Full-Time" sheetId="1" r:id="rId1"/>
    <sheet name="Non-Resident Full-Time" sheetId="2" r:id="rId2"/>
    <sheet name="Resident Part-Time" sheetId="3" r:id="rId3"/>
    <sheet name="Non-Resident Part-Time" sheetId="4" r:id="rId4"/>
  </sheets>
  <definedNames>
    <definedName name="_xlnm.Print_Area" localSheetId="1">'Non-Resident Full-Time'!$A$1:$O$75</definedName>
    <definedName name="_xlnm.Print_Area" localSheetId="3">'Non-Resident Part-Time'!$A$1:$O$75</definedName>
    <definedName name="_xlnm.Print_Area" localSheetId="0">'Resident Full-Time'!$A$1:$O$77</definedName>
    <definedName name="_xlnm.Print_Area" localSheetId="2">'Resident Part-Time'!$A$1:$O$77</definedName>
    <definedName name="_xlnm.Print_Titles" localSheetId="1">'Non-Resident Full-Time'!$1:$6</definedName>
    <definedName name="_xlnm.Print_Titles" localSheetId="3">'Non-Resident Part-Time'!$1:$6</definedName>
    <definedName name="_xlnm.Print_Titles" localSheetId="0">'Resident Full-Time'!$1:$6</definedName>
    <definedName name="_xlnm.Print_Titles" localSheetId="2">'Resident Part-Time'!$1:$6</definedName>
  </definedNames>
  <calcPr fullCalcOnLoad="1"/>
</workbook>
</file>

<file path=xl/sharedStrings.xml><?xml version="1.0" encoding="utf-8"?>
<sst xmlns="http://schemas.openxmlformats.org/spreadsheetml/2006/main" count="492" uniqueCount="96">
  <si>
    <t>Undergraduate</t>
  </si>
  <si>
    <t>Business</t>
  </si>
  <si>
    <t>Engineering</t>
  </si>
  <si>
    <t>Graduate</t>
  </si>
  <si>
    <t>MBA Business</t>
  </si>
  <si>
    <t>Other Business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</si>
  <si>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</si>
  <si>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</si>
  <si>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</si>
  <si>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</si>
  <si>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</si>
  <si>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</si>
  <si>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</si>
  <si>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Nursing </t>
  </si>
  <si>
    <t>All Lower Division</t>
  </si>
  <si>
    <t>Total</t>
  </si>
  <si>
    <t>Tuition</t>
  </si>
  <si>
    <t>N\A</t>
  </si>
  <si>
    <t>Level III-Bus/Eng/Geropsychology</t>
  </si>
  <si>
    <t>Level II-GSPA/Education</t>
  </si>
  <si>
    <t>Level I-All Other</t>
  </si>
  <si>
    <t>Level IV-Nursing</t>
  </si>
  <si>
    <t>Upper Division--Nursing</t>
  </si>
  <si>
    <t>Footnotes:</t>
  </si>
  <si>
    <t>e:  Other is a CCHE approved annual allowance for books and supplies, medical, transportation and personal expenses.</t>
  </si>
  <si>
    <t>Journalism / Music</t>
  </si>
  <si>
    <t>Arts &amp; Sciences / All Other</t>
  </si>
  <si>
    <t>Genetic Counseling</t>
  </si>
  <si>
    <t>Upper Division--LAS / Education</t>
  </si>
  <si>
    <t>Upper Division--Business / Engineering</t>
  </si>
  <si>
    <t>Business / Non-Degree</t>
  </si>
  <si>
    <t>Basic Clinical Science</t>
  </si>
  <si>
    <t>Undergraduate, Incoming</t>
  </si>
  <si>
    <t>All Upper Division</t>
  </si>
  <si>
    <t>f:   Academic year for several programs at AMC is considered above 30 credit hours; for consistency purposes COA was calculated on 30 credit hours</t>
  </si>
  <si>
    <t xml:space="preserve">Public Affairs </t>
  </si>
  <si>
    <t xml:space="preserve"> </t>
  </si>
  <si>
    <t>Doctor of Nursing Practice</t>
  </si>
  <si>
    <t>MBA Business (1st Year)</t>
  </si>
  <si>
    <t>Lower Division</t>
  </si>
  <si>
    <t>Law JD</t>
  </si>
  <si>
    <t>Law JD (1st Year)</t>
  </si>
  <si>
    <t xml:space="preserve">Doctor of Medicine  </t>
  </si>
  <si>
    <t>Doctor of Dental Surgery</t>
  </si>
  <si>
    <t>Doctor of Physical Therapy</t>
  </si>
  <si>
    <t>Doctor of Pharmacy</t>
  </si>
  <si>
    <t>Denver Campus</t>
  </si>
  <si>
    <t>Anschutz Medical Campus</t>
  </si>
  <si>
    <t>Public Health, MPH</t>
  </si>
  <si>
    <t>Public Health, DrPH</t>
  </si>
  <si>
    <t xml:space="preserve">Nursing, MS </t>
  </si>
  <si>
    <t>Nursing, PhD</t>
  </si>
  <si>
    <t>Medicine Accountable Students</t>
  </si>
  <si>
    <t>Dentistry Accountable Students</t>
  </si>
  <si>
    <t>N/A</t>
  </si>
  <si>
    <t>d:  Room and Board for UCB and UCCS Undergraduate Tuition is the actual rate for a double on campus.  Room and Board for UCD Downtown campus is for Campus Village and an estimate for FY 13. For all other tuition rates, it is a CCHE approved annual allowance.</t>
  </si>
  <si>
    <t>Nursing, RN to BS</t>
  </si>
  <si>
    <t>Physician Assistant Studies</t>
  </si>
  <si>
    <r>
      <t>Pharmacy</t>
    </r>
    <r>
      <rPr>
        <vertAlign val="superscript"/>
        <sz val="10"/>
        <rFont val="Arial"/>
        <family val="2"/>
      </rPr>
      <t xml:space="preserve"> h</t>
    </r>
  </si>
  <si>
    <t>d:  Room and Board for UCB and UCCS Undergraduate Tuition is the actual rate for a double on campus.  Room and Board for UCD Downtown campus is for Campus Village and an estimate for FY 14. For all other tuition rates, it is a CCHE approved annual allowance.</t>
  </si>
  <si>
    <r>
      <t xml:space="preserve">Anesthesiology </t>
    </r>
    <r>
      <rPr>
        <vertAlign val="superscript"/>
        <sz val="10"/>
        <rFont val="Arial"/>
        <family val="2"/>
      </rPr>
      <t>g</t>
    </r>
  </si>
  <si>
    <r>
      <t xml:space="preserve">Engineering </t>
    </r>
    <r>
      <rPr>
        <vertAlign val="superscript"/>
        <sz val="10"/>
        <rFont val="Arial"/>
        <family val="2"/>
      </rPr>
      <t xml:space="preserve">i </t>
    </r>
  </si>
  <si>
    <t>Biostats/Epidemiology/Health Svcs, PhD</t>
  </si>
  <si>
    <t>Biostats/Epidemiology/Health Svcs, MS</t>
  </si>
  <si>
    <t>Modern Anatomy</t>
  </si>
  <si>
    <t>h: Graduate Pharmacy tuition rate is capped at 9 credit hours a term or 18 credit hours per academic year.</t>
  </si>
  <si>
    <t>d:  Room and Board for UCB and UCCS Undergraduate Tuition is the actual rate for a double on campus.  Undergraduate Room and Board for Denver campus reflects estimated Campus Village rates for FY 13-14. For all other tuition rates, it is a CCHE approved annual allowance.</t>
  </si>
  <si>
    <t xml:space="preserve">FY 2013 Cost of Attendance Estimate </t>
  </si>
  <si>
    <t xml:space="preserve">FY 2014 Cost of Attendance Estimate </t>
  </si>
  <si>
    <t>c: Fees presented do not include instructional program or course fees.  UCB fees include an estimate for spring 2014 Rec Center addition fee.</t>
  </si>
  <si>
    <r>
      <t>Masters Law</t>
    </r>
    <r>
      <rPr>
        <vertAlign val="superscript"/>
        <sz val="10"/>
        <rFont val="Arial"/>
        <family val="2"/>
      </rPr>
      <t>i</t>
    </r>
  </si>
  <si>
    <r>
      <t>Masters Law</t>
    </r>
    <r>
      <rPr>
        <vertAlign val="superscript"/>
        <sz val="10"/>
        <rFont val="Arial"/>
        <family val="2"/>
      </rPr>
      <t>j</t>
    </r>
  </si>
  <si>
    <t>i:  2014 reflects a price restructuring from the 2013 price structure of one rate per academic term.</t>
  </si>
  <si>
    <t>j:  2014 reflects a price restructuring from the 2013 price structure of one rate per academic term.</t>
  </si>
  <si>
    <t>Resident Full-Time (30 Credit Hours)</t>
  </si>
  <si>
    <t>University of Colorado FY 2014 Academic Year Tuition and Fees</t>
  </si>
  <si>
    <t>Non-Resident Full-Time (30 Credit Hours)</t>
  </si>
  <si>
    <t>Resident Part-Time (12 Credit Hours)</t>
  </si>
  <si>
    <t>Non-Resident Part-Time (12 Credit Hours)</t>
  </si>
  <si>
    <t>* This cost of attendance estimate is reflective of the allowable costs set by CCHE and may differ from actual campus estimates and/or actual out of pocket costs for the student.</t>
  </si>
  <si>
    <t>c:  Fees presented do not include instructional program or course fees.  UCB fees include an estimate for spring 2014 Rec Center addition fee.</t>
  </si>
  <si>
    <t>g:  MS in Anesthesiology is a new program approved by the Board of Regents beginning fall 2013.</t>
  </si>
  <si>
    <t>h:  Graduate Pharmacy tuition rate is capped at 9 credit hours a term or 18 credit hours per academic year.</t>
  </si>
  <si>
    <t>Change in Cost of Attendance</t>
  </si>
  <si>
    <r>
      <t xml:space="preserve">Fees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</si>
  <si>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d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</si>
  <si>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e</t>
    </r>
  </si>
  <si>
    <r>
      <t>Anschutz Medical Campus</t>
    </r>
    <r>
      <rPr>
        <b/>
        <vertAlign val="superscript"/>
        <sz val="10"/>
        <rFont val="Arial"/>
        <family val="2"/>
      </rPr>
      <t>f</t>
    </r>
  </si>
  <si>
    <r>
      <t>Tuition</t>
    </r>
    <r>
      <rPr>
        <b/>
        <vertAlign val="superscript"/>
        <sz val="10"/>
        <color indexed="9"/>
        <rFont val="Arial"/>
        <family val="2"/>
      </rPr>
      <t>a</t>
    </r>
  </si>
  <si>
    <r>
      <t>Tuition</t>
    </r>
    <r>
      <rPr>
        <b/>
        <vertAlign val="superscript"/>
        <sz val="10"/>
        <color indexed="9"/>
        <rFont val="Arial"/>
        <family val="2"/>
      </rPr>
      <t>b</t>
    </r>
  </si>
  <si>
    <t>i:  Excludes PhD in Engineering and Applied Sciences degree.</t>
  </si>
  <si>
    <t>f:  Academic year for several programs at AMC is considered above 30 credit hours; for consistency purposes COA was calculated on 30 credit hours.</t>
  </si>
  <si>
    <t>a:  FY 2013 Resident Undergraduate Tuition Rates represent the student share of tuition after the College Opportunity Fund stipend is applied for eligible authorizing students.</t>
  </si>
  <si>
    <t>b:  FY 2014 Resident Undergraduate Tuition Rates represent the student share of tuition after the College Opportunity Fund stipend is applied for eligible authorizing students.</t>
  </si>
  <si>
    <t>$ Change</t>
  </si>
  <si>
    <t>% 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</si>
</sst>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name val="Tahoma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9" fontId="0" fillId="0" borderId="0" xfId="67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63" applyNumberFormat="1" applyFont="1" applyBorder="1">
      <alignment/>
      <protection/>
    </xf>
    <xf numFmtId="6" fontId="0" fillId="0" borderId="1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5" xfId="0" applyNumberFormat="1" applyFont="1" applyBorder="1" applyAlignment="1">
      <alignment/>
    </xf>
    <xf numFmtId="6" fontId="0" fillId="0" borderId="16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6" fontId="0" fillId="0" borderId="11" xfId="0" applyNumberFormat="1" applyFont="1" applyFill="1" applyBorder="1" applyAlignment="1">
      <alignment horizontal="right" vertical="center"/>
    </xf>
    <xf numFmtId="6" fontId="0" fillId="0" borderId="14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6" fontId="0" fillId="0" borderId="17" xfId="0" applyNumberFormat="1" applyFont="1" applyBorder="1" applyAlignment="1">
      <alignment/>
    </xf>
    <xf numFmtId="6" fontId="0" fillId="0" borderId="18" xfId="0" applyNumberFormat="1" applyFont="1" applyBorder="1" applyAlignment="1">
      <alignment/>
    </xf>
    <xf numFmtId="6" fontId="0" fillId="0" borderId="11" xfId="0" applyNumberFormat="1" applyFont="1" applyBorder="1" applyAlignment="1">
      <alignment horizontal="right" vertical="center"/>
    </xf>
    <xf numFmtId="6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6" fontId="0" fillId="0" borderId="21" xfId="0" applyNumberFormat="1" applyFont="1" applyFill="1" applyBorder="1" applyAlignment="1">
      <alignment horizontal="right" vertical="center"/>
    </xf>
    <xf numFmtId="6" fontId="0" fillId="0" borderId="16" xfId="0" applyNumberFormat="1" applyFont="1" applyBorder="1" applyAlignment="1">
      <alignment/>
    </xf>
    <xf numFmtId="6" fontId="0" fillId="0" borderId="22" xfId="0" applyNumberFormat="1" applyFont="1" applyBorder="1" applyAlignment="1">
      <alignment horizontal="center"/>
    </xf>
    <xf numFmtId="6" fontId="0" fillId="0" borderId="2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6" fontId="0" fillId="0" borderId="10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16" xfId="0" applyNumberFormat="1" applyFill="1" applyBorder="1" applyAlignment="1">
      <alignment/>
    </xf>
    <xf numFmtId="6" fontId="0" fillId="0" borderId="20" xfId="0" applyNumberFormat="1" applyFill="1" applyBorder="1" applyAlignment="1">
      <alignment/>
    </xf>
    <xf numFmtId="6" fontId="0" fillId="0" borderId="22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6" fontId="0" fillId="0" borderId="12" xfId="64" applyNumberFormat="1" applyFont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6" fontId="0" fillId="0" borderId="12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6" fontId="0" fillId="0" borderId="11" xfId="0" applyNumberFormat="1" applyFont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22" xfId="0" applyNumberFormat="1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6" fontId="0" fillId="0" borderId="19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left" indent="2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6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6" fontId="0" fillId="0" borderId="13" xfId="0" applyNumberFormat="1" applyFont="1" applyFill="1" applyBorder="1" applyAlignment="1">
      <alignment vertical="center"/>
    </xf>
    <xf numFmtId="6" fontId="0" fillId="0" borderId="13" xfId="0" applyNumberFormat="1" applyFont="1" applyBorder="1" applyAlignment="1">
      <alignment vertical="center"/>
    </xf>
    <xf numFmtId="164" fontId="0" fillId="0" borderId="1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0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164" fontId="0" fillId="0" borderId="21" xfId="0" applyNumberFormat="1" applyFont="1" applyFill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21" xfId="0" applyNumberFormat="1" applyFont="1" applyBorder="1" applyAlignment="1">
      <alignment/>
    </xf>
    <xf numFmtId="164" fontId="0" fillId="0" borderId="21" xfId="0" applyNumberFormat="1" applyFont="1" applyFill="1" applyBorder="1" applyAlignment="1">
      <alignment/>
    </xf>
    <xf numFmtId="6" fontId="0" fillId="0" borderId="19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16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6" fontId="0" fillId="0" borderId="0" xfId="0" applyNumberFormat="1" applyFont="1" applyFill="1" applyBorder="1" applyAlignment="1">
      <alignment horizontal="center"/>
    </xf>
    <xf numFmtId="6" fontId="0" fillId="0" borderId="11" xfId="0" applyNumberFormat="1" applyFont="1" applyBorder="1" applyAlignment="1">
      <alignment/>
    </xf>
    <xf numFmtId="6" fontId="0" fillId="0" borderId="1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6" fontId="0" fillId="0" borderId="23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6" fontId="0" fillId="0" borderId="20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6" fontId="0" fillId="0" borderId="23" xfId="0" applyNumberFormat="1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6" fontId="0" fillId="0" borderId="0" xfId="0" applyNumberFormat="1" applyFont="1" applyBorder="1" applyAlignment="1">
      <alignment horizontal="center"/>
    </xf>
    <xf numFmtId="6" fontId="0" fillId="0" borderId="11" xfId="0" applyNumberFormat="1" applyFont="1" applyBorder="1" applyAlignment="1">
      <alignment horizontal="center"/>
    </xf>
    <xf numFmtId="6" fontId="0" fillId="0" borderId="22" xfId="0" applyNumberFormat="1" applyFont="1" applyFill="1" applyBorder="1" applyAlignment="1">
      <alignment horizontal="center"/>
    </xf>
    <xf numFmtId="6" fontId="0" fillId="0" borderId="15" xfId="0" applyNumberFormat="1" applyFont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6" fontId="0" fillId="0" borderId="12" xfId="0" applyNumberFormat="1" applyFont="1" applyFill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Border="1" applyAlignment="1">
      <alignment horizontal="left" indent="2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0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62" applyFont="1" applyFill="1" applyBorder="1">
      <alignment/>
      <protection/>
    </xf>
    <xf numFmtId="0" fontId="0" fillId="0" borderId="15" xfId="62" applyFont="1" applyFill="1" applyBorder="1">
      <alignment/>
      <protection/>
    </xf>
    <xf numFmtId="6" fontId="0" fillId="0" borderId="2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6" fontId="0" fillId="0" borderId="1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/>
    </xf>
    <xf numFmtId="6" fontId="0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24" xfId="0" applyFont="1" applyFill="1" applyBorder="1" applyAlignment="1">
      <alignment horizontal="centerContinuous"/>
    </xf>
    <xf numFmtId="0" fontId="43" fillId="33" borderId="25" xfId="0" applyFont="1" applyFill="1" applyBorder="1" applyAlignment="1">
      <alignment horizontal="centerContinuous"/>
    </xf>
    <xf numFmtId="0" fontId="43" fillId="33" borderId="26" xfId="0" applyFont="1" applyFill="1" applyBorder="1" applyAlignment="1">
      <alignment horizontal="centerContinuous" wrapText="1"/>
    </xf>
    <xf numFmtId="0" fontId="43" fillId="33" borderId="25" xfId="0" applyFont="1" applyFill="1" applyBorder="1" applyAlignment="1">
      <alignment horizontal="centerContinuous" wrapText="1"/>
    </xf>
    <xf numFmtId="0" fontId="43" fillId="33" borderId="15" xfId="0" applyFont="1" applyFill="1" applyBorder="1" applyAlignment="1">
      <alignment horizontal="centerContinuous"/>
    </xf>
    <xf numFmtId="0" fontId="43" fillId="33" borderId="22" xfId="0" applyFont="1" applyFill="1" applyBorder="1" applyAlignment="1">
      <alignment horizontal="center"/>
    </xf>
    <xf numFmtId="164" fontId="43" fillId="33" borderId="21" xfId="0" applyNumberFormat="1" applyFont="1" applyFill="1" applyBorder="1" applyAlignment="1">
      <alignment horizontal="center"/>
    </xf>
    <xf numFmtId="0" fontId="43" fillId="33" borderId="17" xfId="0" applyFont="1" applyFill="1" applyBorder="1" applyAlignment="1">
      <alignment/>
    </xf>
    <xf numFmtId="0" fontId="43" fillId="33" borderId="22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6" fontId="0" fillId="34" borderId="24" xfId="0" applyNumberFormat="1" applyFont="1" applyFill="1" applyBorder="1" applyAlignment="1">
      <alignment/>
    </xf>
    <xf numFmtId="6" fontId="0" fillId="34" borderId="25" xfId="0" applyNumberFormat="1" applyFont="1" applyFill="1" applyBorder="1" applyAlignment="1">
      <alignment/>
    </xf>
    <xf numFmtId="164" fontId="0" fillId="34" borderId="25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6" fontId="0" fillId="34" borderId="26" xfId="0" applyNumberFormat="1" applyFont="1" applyFill="1" applyBorder="1" applyAlignment="1">
      <alignment/>
    </xf>
    <xf numFmtId="6" fontId="0" fillId="34" borderId="25" xfId="0" applyNumberFormat="1" applyFont="1" applyFill="1" applyBorder="1" applyAlignment="1">
      <alignment horizontal="right" vertical="center"/>
    </xf>
    <xf numFmtId="0" fontId="0" fillId="34" borderId="26" xfId="0" applyFont="1" applyFill="1" applyBorder="1" applyAlignment="1">
      <alignment/>
    </xf>
    <xf numFmtId="0" fontId="43" fillId="33" borderId="26" xfId="0" applyFont="1" applyFill="1" applyBorder="1" applyAlignment="1" quotePrefix="1">
      <alignment horizontal="centerContinuous" vertical="center"/>
    </xf>
    <xf numFmtId="6" fontId="0" fillId="34" borderId="17" xfId="0" applyNumberFormat="1" applyFont="1" applyFill="1" applyBorder="1" applyAlignment="1">
      <alignment/>
    </xf>
    <xf numFmtId="6" fontId="0" fillId="34" borderId="18" xfId="0" applyNumberFormat="1" applyFont="1" applyFill="1" applyBorder="1" applyAlignment="1">
      <alignment/>
    </xf>
    <xf numFmtId="6" fontId="0" fillId="34" borderId="19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43" fillId="33" borderId="24" xfId="0" applyFont="1" applyFill="1" applyBorder="1" applyAlignment="1">
      <alignment horizontal="centerContinuous" vertical="center"/>
    </xf>
    <xf numFmtId="0" fontId="43" fillId="33" borderId="25" xfId="0" applyFont="1" applyFill="1" applyBorder="1" applyAlignment="1">
      <alignment horizontal="centerContinuous" vertical="center"/>
    </xf>
    <xf numFmtId="0" fontId="43" fillId="33" borderId="24" xfId="0" applyFont="1" applyFill="1" applyBorder="1" applyAlignment="1">
      <alignment horizontal="centerContinuous" wrapText="1"/>
    </xf>
    <xf numFmtId="0" fontId="0" fillId="34" borderId="18" xfId="0" applyFont="1" applyFill="1" applyBorder="1" applyAlignment="1">
      <alignment/>
    </xf>
    <xf numFmtId="0" fontId="0" fillId="34" borderId="24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3" fillId="33" borderId="26" xfId="0" applyFont="1" applyFill="1" applyBorder="1" applyAlignment="1" quotePrefix="1">
      <alignment horizontal="centerContinuous" vertical="center" wrapText="1"/>
    </xf>
    <xf numFmtId="0" fontId="43" fillId="33" borderId="24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4 3" xfId="62"/>
    <cellStyle name="Normal_Regents Tuition Options, 4-option request 2007 05 09 for FA and bursar w rate change" xfId="63"/>
    <cellStyle name="Normal_Regents Tuition Options, 4-option request 2007 05 09 for FA and bursar w rate change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view="pageBreakPreview" zoomScaleNormal="75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2.00390625" style="14" customWidth="1"/>
    <col min="2" max="2" width="2.28125" style="14" customWidth="1"/>
    <col min="3" max="3" width="34.57421875" style="14" customWidth="1"/>
    <col min="4" max="7" width="9.7109375" style="14" customWidth="1"/>
    <col min="8" max="8" width="9.7109375" style="22" customWidth="1"/>
    <col min="9" max="12" width="9.7109375" style="14" customWidth="1"/>
    <col min="13" max="13" width="9.7109375" style="22" customWidth="1"/>
    <col min="14" max="14" width="9.7109375" style="14" customWidth="1"/>
    <col min="15" max="15" width="9.7109375" style="22" customWidth="1"/>
    <col min="16" max="18" width="8.8515625" style="13" customWidth="1"/>
    <col min="19" max="19" width="10.57421875" style="13" customWidth="1"/>
    <col min="20" max="23" width="8.8515625" style="13" customWidth="1"/>
    <col min="24" max="16384" width="9.140625" style="14" customWidth="1"/>
  </cols>
  <sheetData>
    <row r="1" spans="1:15" ht="18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8">
      <c r="A2" s="152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23" s="1" customFormat="1" ht="28.5" customHeight="1" thickBot="1">
      <c r="A5" s="163"/>
      <c r="B5" s="154"/>
      <c r="C5" s="155"/>
      <c r="D5" s="175" t="s">
        <v>67</v>
      </c>
      <c r="E5" s="156"/>
      <c r="F5" s="156"/>
      <c r="G5" s="156"/>
      <c r="H5" s="157"/>
      <c r="I5" s="175" t="s">
        <v>68</v>
      </c>
      <c r="J5" s="156"/>
      <c r="K5" s="156"/>
      <c r="L5" s="156"/>
      <c r="M5" s="157"/>
      <c r="N5" s="158" t="s">
        <v>83</v>
      </c>
      <c r="O5" s="159"/>
      <c r="P5" s="2"/>
      <c r="Q5" s="2"/>
      <c r="R5" s="2"/>
      <c r="S5" s="2"/>
      <c r="T5" s="2"/>
      <c r="U5" s="2"/>
      <c r="V5" s="2"/>
      <c r="W5" s="2"/>
    </row>
    <row r="6" spans="1:23" s="1" customFormat="1" ht="16.5" customHeight="1" thickBot="1">
      <c r="A6" s="164"/>
      <c r="B6" s="160"/>
      <c r="C6" s="160"/>
      <c r="D6" s="161" t="s">
        <v>88</v>
      </c>
      <c r="E6" s="190" t="s">
        <v>84</v>
      </c>
      <c r="F6" s="190" t="s">
        <v>85</v>
      </c>
      <c r="G6" s="190" t="s">
        <v>86</v>
      </c>
      <c r="H6" s="162" t="s">
        <v>15</v>
      </c>
      <c r="I6" s="161" t="s">
        <v>89</v>
      </c>
      <c r="J6" s="190" t="s">
        <v>84</v>
      </c>
      <c r="K6" s="190" t="s">
        <v>85</v>
      </c>
      <c r="L6" s="190" t="s">
        <v>86</v>
      </c>
      <c r="M6" s="162" t="s">
        <v>15</v>
      </c>
      <c r="N6" s="191" t="s">
        <v>94</v>
      </c>
      <c r="O6" s="162" t="s">
        <v>95</v>
      </c>
      <c r="P6" s="2"/>
      <c r="Q6" s="2"/>
      <c r="R6" s="2"/>
      <c r="S6" s="2"/>
      <c r="T6" s="2"/>
      <c r="U6" s="2"/>
      <c r="V6" s="2"/>
      <c r="W6" s="2"/>
    </row>
    <row r="7" spans="1:15" ht="13.5" thickBot="1">
      <c r="A7" s="165" t="s">
        <v>12</v>
      </c>
      <c r="B7" s="166"/>
      <c r="C7" s="166"/>
      <c r="D7" s="174"/>
      <c r="E7" s="166"/>
      <c r="F7" s="166"/>
      <c r="G7" s="166"/>
      <c r="H7" s="170"/>
      <c r="I7" s="174"/>
      <c r="J7" s="166"/>
      <c r="K7" s="166"/>
      <c r="L7" s="166"/>
      <c r="M7" s="170"/>
      <c r="N7" s="166"/>
      <c r="O7" s="170"/>
    </row>
    <row r="8" spans="1:15" ht="12.75">
      <c r="A8" s="39"/>
      <c r="B8" s="40" t="s">
        <v>0</v>
      </c>
      <c r="C8" s="40"/>
      <c r="D8" s="41"/>
      <c r="E8" s="42"/>
      <c r="F8" s="42"/>
      <c r="G8" s="42"/>
      <c r="H8" s="43"/>
      <c r="I8" s="41"/>
      <c r="J8" s="42"/>
      <c r="K8" s="42"/>
      <c r="L8" s="42"/>
      <c r="M8" s="43"/>
      <c r="N8" s="42"/>
      <c r="O8" s="43"/>
    </row>
    <row r="9" spans="1:19" ht="12.75">
      <c r="A9" s="39"/>
      <c r="B9" s="40"/>
      <c r="C9" s="40" t="s">
        <v>26</v>
      </c>
      <c r="D9" s="61">
        <v>8056</v>
      </c>
      <c r="E9" s="9">
        <v>1426</v>
      </c>
      <c r="F9" s="9">
        <f>5865*2</f>
        <v>11730</v>
      </c>
      <c r="G9" s="30">
        <v>6642</v>
      </c>
      <c r="H9" s="44">
        <f>D9+E9+F9+G9</f>
        <v>27854</v>
      </c>
      <c r="I9" s="61">
        <f>4380*2</f>
        <v>8760</v>
      </c>
      <c r="J9" s="9">
        <v>1583</v>
      </c>
      <c r="K9" s="9">
        <f>6129*2</f>
        <v>12258</v>
      </c>
      <c r="L9" s="30">
        <v>6642</v>
      </c>
      <c r="M9" s="44">
        <f>I9+J9+K9+L9</f>
        <v>29243</v>
      </c>
      <c r="N9" s="9">
        <f>M9-H9</f>
        <v>1389</v>
      </c>
      <c r="O9" s="31">
        <f>N9/H9</f>
        <v>0.04986716450061032</v>
      </c>
      <c r="Q9" s="23"/>
      <c r="R9" s="23"/>
      <c r="S9" s="24"/>
    </row>
    <row r="10" spans="1:20" ht="12.75">
      <c r="A10" s="39"/>
      <c r="B10" s="40"/>
      <c r="C10" s="40" t="s">
        <v>25</v>
      </c>
      <c r="D10" s="61">
        <v>8348</v>
      </c>
      <c r="E10" s="9">
        <v>1426</v>
      </c>
      <c r="F10" s="9">
        <f>5865*2</f>
        <v>11730</v>
      </c>
      <c r="G10" s="30">
        <v>6642</v>
      </c>
      <c r="H10" s="44">
        <f>D10+E10+F10+G10</f>
        <v>28146</v>
      </c>
      <c r="I10" s="61">
        <f>4536*2</f>
        <v>9072</v>
      </c>
      <c r="J10" s="9">
        <v>1583</v>
      </c>
      <c r="K10" s="9">
        <v>12258</v>
      </c>
      <c r="L10" s="30">
        <v>6642</v>
      </c>
      <c r="M10" s="44">
        <f>I10+J10+K10+L10</f>
        <v>29555</v>
      </c>
      <c r="N10" s="9">
        <f>M10-H10</f>
        <v>1409</v>
      </c>
      <c r="O10" s="31">
        <f>N10/H10</f>
        <v>0.050060399346265896</v>
      </c>
      <c r="R10" s="23"/>
      <c r="S10" s="25"/>
      <c r="T10" s="26"/>
    </row>
    <row r="11" spans="1:16" ht="12.75">
      <c r="A11" s="39"/>
      <c r="B11" s="40"/>
      <c r="C11" s="40" t="s">
        <v>2</v>
      </c>
      <c r="D11" s="61">
        <v>11048</v>
      </c>
      <c r="E11" s="9">
        <v>1426</v>
      </c>
      <c r="F11" s="9">
        <f>5865*2</f>
        <v>11730</v>
      </c>
      <c r="G11" s="30">
        <v>6642</v>
      </c>
      <c r="H11" s="44">
        <f>D11+E11+F11+G11</f>
        <v>30846</v>
      </c>
      <c r="I11" s="61">
        <f>5880*2</f>
        <v>11760</v>
      </c>
      <c r="J11" s="9">
        <v>1583</v>
      </c>
      <c r="K11" s="9">
        <v>12258</v>
      </c>
      <c r="L11" s="30">
        <v>6642</v>
      </c>
      <c r="M11" s="44">
        <f>I11+J11+K11+L11</f>
        <v>32243</v>
      </c>
      <c r="N11" s="9">
        <f>M11-H11</f>
        <v>1397</v>
      </c>
      <c r="O11" s="31">
        <f>N11/H11</f>
        <v>0.045289502690786486</v>
      </c>
      <c r="P11" s="23"/>
    </row>
    <row r="12" spans="1:16" ht="12.75">
      <c r="A12" s="53"/>
      <c r="B12" s="54"/>
      <c r="C12" s="54" t="s">
        <v>1</v>
      </c>
      <c r="D12" s="62">
        <v>12646</v>
      </c>
      <c r="E12" s="33">
        <v>1426</v>
      </c>
      <c r="F12" s="9">
        <f>5865*2</f>
        <v>11730</v>
      </c>
      <c r="G12" s="34">
        <v>6642</v>
      </c>
      <c r="H12" s="45">
        <f>D12+E12+F12+G12</f>
        <v>32444</v>
      </c>
      <c r="I12" s="62">
        <f>6672*2</f>
        <v>13344</v>
      </c>
      <c r="J12" s="33">
        <v>1583</v>
      </c>
      <c r="K12" s="9">
        <v>12258</v>
      </c>
      <c r="L12" s="34">
        <v>6642</v>
      </c>
      <c r="M12" s="45">
        <f>I12+J12+K12+L12</f>
        <v>33827</v>
      </c>
      <c r="N12" s="33">
        <f>M12-H12</f>
        <v>1383</v>
      </c>
      <c r="O12" s="35">
        <f>N12/H12</f>
        <v>0.04262729626433239</v>
      </c>
      <c r="P12" s="15"/>
    </row>
    <row r="13" spans="1:15" ht="12.75">
      <c r="A13" s="39"/>
      <c r="B13" s="40" t="s">
        <v>3</v>
      </c>
      <c r="C13" s="40"/>
      <c r="D13" s="61"/>
      <c r="E13" s="9"/>
      <c r="F13" s="38"/>
      <c r="G13" s="30"/>
      <c r="H13" s="44"/>
      <c r="I13" s="61"/>
      <c r="J13" s="9"/>
      <c r="K13" s="38"/>
      <c r="L13" s="30"/>
      <c r="M13" s="44"/>
      <c r="N13" s="9"/>
      <c r="O13" s="31"/>
    </row>
    <row r="14" spans="1:16" ht="12.75">
      <c r="A14" s="39"/>
      <c r="B14" s="40"/>
      <c r="C14" s="40" t="s">
        <v>26</v>
      </c>
      <c r="D14" s="61">
        <v>9738</v>
      </c>
      <c r="E14" s="9">
        <v>1435</v>
      </c>
      <c r="F14" s="9">
        <v>8901</v>
      </c>
      <c r="G14" s="30">
        <v>6642</v>
      </c>
      <c r="H14" s="44">
        <f aca="true" t="shared" si="0" ref="H14:H19">D14+E14+F14+G14</f>
        <v>26716</v>
      </c>
      <c r="I14" s="61">
        <f>4959*2</f>
        <v>9918</v>
      </c>
      <c r="J14" s="9">
        <v>1592</v>
      </c>
      <c r="K14" s="9">
        <v>8910</v>
      </c>
      <c r="L14" s="30">
        <v>6642</v>
      </c>
      <c r="M14" s="44">
        <f aca="true" t="shared" si="1" ref="M14:M20">I14+J14+K14+L14</f>
        <v>27062</v>
      </c>
      <c r="N14" s="9">
        <f aca="true" t="shared" si="2" ref="N14:N19">M14-H14</f>
        <v>346</v>
      </c>
      <c r="O14" s="31">
        <f aca="true" t="shared" si="3" ref="O14:O19">N14/H14</f>
        <v>0.012951040574936368</v>
      </c>
      <c r="P14" s="23"/>
    </row>
    <row r="15" spans="1:15" ht="12.75">
      <c r="A15" s="39"/>
      <c r="B15" s="40"/>
      <c r="C15" s="40" t="s">
        <v>25</v>
      </c>
      <c r="D15" s="61">
        <v>9738</v>
      </c>
      <c r="E15" s="9">
        <v>1435</v>
      </c>
      <c r="F15" s="9">
        <v>8901</v>
      </c>
      <c r="G15" s="30">
        <v>6642</v>
      </c>
      <c r="H15" s="44">
        <f t="shared" si="0"/>
        <v>26716</v>
      </c>
      <c r="I15" s="61">
        <f>4959*2</f>
        <v>9918</v>
      </c>
      <c r="J15" s="9">
        <v>1592</v>
      </c>
      <c r="K15" s="9">
        <v>8910</v>
      </c>
      <c r="L15" s="30">
        <v>6642</v>
      </c>
      <c r="M15" s="44">
        <f t="shared" si="1"/>
        <v>27062</v>
      </c>
      <c r="N15" s="9">
        <f t="shared" si="2"/>
        <v>346</v>
      </c>
      <c r="O15" s="31">
        <f t="shared" si="3"/>
        <v>0.012951040574936368</v>
      </c>
    </row>
    <row r="16" spans="1:15" ht="12.75">
      <c r="A16" s="39"/>
      <c r="B16" s="40"/>
      <c r="C16" s="40" t="s">
        <v>2</v>
      </c>
      <c r="D16" s="61">
        <v>12726</v>
      </c>
      <c r="E16" s="9">
        <v>1435</v>
      </c>
      <c r="F16" s="9">
        <v>8901</v>
      </c>
      <c r="G16" s="30">
        <v>6642</v>
      </c>
      <c r="H16" s="44">
        <f t="shared" si="0"/>
        <v>29704</v>
      </c>
      <c r="I16" s="61">
        <f>6480*2</f>
        <v>12960</v>
      </c>
      <c r="J16" s="9">
        <v>1592</v>
      </c>
      <c r="K16" s="9">
        <v>8910</v>
      </c>
      <c r="L16" s="30">
        <v>6642</v>
      </c>
      <c r="M16" s="44">
        <f t="shared" si="1"/>
        <v>30104</v>
      </c>
      <c r="N16" s="9">
        <f t="shared" si="2"/>
        <v>400</v>
      </c>
      <c r="O16" s="31">
        <f t="shared" si="3"/>
        <v>0.013466199838405602</v>
      </c>
    </row>
    <row r="17" spans="1:15" ht="12.75">
      <c r="A17" s="39"/>
      <c r="B17" s="40"/>
      <c r="C17" s="40" t="s">
        <v>5</v>
      </c>
      <c r="D17" s="61">
        <v>13950</v>
      </c>
      <c r="E17" s="9">
        <v>1435</v>
      </c>
      <c r="F17" s="9">
        <v>8901</v>
      </c>
      <c r="G17" s="30">
        <v>6642</v>
      </c>
      <c r="H17" s="44">
        <f t="shared" si="0"/>
        <v>30928</v>
      </c>
      <c r="I17" s="61">
        <f>7101*2</f>
        <v>14202</v>
      </c>
      <c r="J17" s="9">
        <v>1592</v>
      </c>
      <c r="K17" s="9">
        <v>8910</v>
      </c>
      <c r="L17" s="30">
        <v>6642</v>
      </c>
      <c r="M17" s="44">
        <f t="shared" si="1"/>
        <v>31346</v>
      </c>
      <c r="N17" s="9">
        <f t="shared" si="2"/>
        <v>418</v>
      </c>
      <c r="O17" s="31">
        <f t="shared" si="3"/>
        <v>0.01351526125193999</v>
      </c>
    </row>
    <row r="18" spans="1:15" ht="12.75">
      <c r="A18" s="39"/>
      <c r="B18" s="40"/>
      <c r="C18" s="40" t="s">
        <v>38</v>
      </c>
      <c r="D18" s="61">
        <v>16092</v>
      </c>
      <c r="E18" s="9">
        <v>1435</v>
      </c>
      <c r="F18" s="9">
        <v>8901</v>
      </c>
      <c r="G18" s="30">
        <v>6642</v>
      </c>
      <c r="H18" s="44">
        <f t="shared" si="0"/>
        <v>33070</v>
      </c>
      <c r="I18" s="61">
        <f>8190*2</f>
        <v>16380</v>
      </c>
      <c r="J18" s="9">
        <v>1592</v>
      </c>
      <c r="K18" s="9">
        <v>8910</v>
      </c>
      <c r="L18" s="30">
        <v>6642</v>
      </c>
      <c r="M18" s="44">
        <f t="shared" si="1"/>
        <v>33524</v>
      </c>
      <c r="N18" s="9">
        <f t="shared" si="2"/>
        <v>454</v>
      </c>
      <c r="O18" s="31">
        <f t="shared" si="3"/>
        <v>0.013728454792863623</v>
      </c>
    </row>
    <row r="19" spans="1:15" ht="12.75">
      <c r="A19" s="39"/>
      <c r="B19" s="40"/>
      <c r="C19" s="40" t="s">
        <v>41</v>
      </c>
      <c r="D19" s="61">
        <f>14859*2</f>
        <v>29718</v>
      </c>
      <c r="E19" s="9">
        <v>1435</v>
      </c>
      <c r="F19" s="9">
        <v>8901</v>
      </c>
      <c r="G19" s="30">
        <v>6642</v>
      </c>
      <c r="H19" s="44">
        <f t="shared" si="0"/>
        <v>46696</v>
      </c>
      <c r="I19" s="61">
        <f>14859*2</f>
        <v>29718</v>
      </c>
      <c r="J19" s="9">
        <v>1592</v>
      </c>
      <c r="K19" s="9">
        <v>8910</v>
      </c>
      <c r="L19" s="30">
        <v>6642</v>
      </c>
      <c r="M19" s="44">
        <f t="shared" si="1"/>
        <v>46862</v>
      </c>
      <c r="N19" s="9">
        <f t="shared" si="2"/>
        <v>166</v>
      </c>
      <c r="O19" s="31">
        <f t="shared" si="3"/>
        <v>0.0035549083433270515</v>
      </c>
    </row>
    <row r="20" spans="1:15" ht="15" thickBot="1">
      <c r="A20" s="39"/>
      <c r="B20" s="40"/>
      <c r="C20" s="16" t="s">
        <v>70</v>
      </c>
      <c r="D20" s="61"/>
      <c r="E20" s="9"/>
      <c r="F20" s="9"/>
      <c r="G20" s="30"/>
      <c r="H20" s="44"/>
      <c r="I20" s="61">
        <f>15201*2</f>
        <v>30402</v>
      </c>
      <c r="J20" s="9">
        <v>1592</v>
      </c>
      <c r="K20" s="9">
        <v>8910</v>
      </c>
      <c r="L20" s="30">
        <v>6642</v>
      </c>
      <c r="M20" s="44">
        <f t="shared" si="1"/>
        <v>47546</v>
      </c>
      <c r="N20" s="57" t="s">
        <v>17</v>
      </c>
      <c r="O20" s="58" t="s">
        <v>17</v>
      </c>
    </row>
    <row r="21" spans="1:15" ht="13.5" thickBot="1">
      <c r="A21" s="165" t="s">
        <v>6</v>
      </c>
      <c r="B21" s="166"/>
      <c r="C21" s="166"/>
      <c r="D21" s="172"/>
      <c r="E21" s="168"/>
      <c r="F21" s="166"/>
      <c r="G21" s="168"/>
      <c r="H21" s="173"/>
      <c r="I21" s="172"/>
      <c r="J21" s="168"/>
      <c r="K21" s="166"/>
      <c r="L21" s="168"/>
      <c r="M21" s="173"/>
      <c r="N21" s="168"/>
      <c r="O21" s="170"/>
    </row>
    <row r="22" spans="1:15" ht="12.75">
      <c r="A22" s="39"/>
      <c r="B22" s="40" t="s">
        <v>0</v>
      </c>
      <c r="C22" s="40"/>
      <c r="D22" s="51"/>
      <c r="E22" s="30"/>
      <c r="F22" s="40"/>
      <c r="G22" s="49"/>
      <c r="H22" s="50"/>
      <c r="I22" s="51"/>
      <c r="J22" s="30"/>
      <c r="K22" s="40"/>
      <c r="L22" s="49"/>
      <c r="M22" s="50"/>
      <c r="N22" s="30"/>
      <c r="O22" s="52"/>
    </row>
    <row r="23" spans="1:17" ht="12.75">
      <c r="A23" s="39"/>
      <c r="B23" s="40"/>
      <c r="C23" s="40" t="s">
        <v>39</v>
      </c>
      <c r="D23" s="29">
        <v>7050</v>
      </c>
      <c r="E23" s="9">
        <v>1189</v>
      </c>
      <c r="F23" s="9">
        <v>8300</v>
      </c>
      <c r="G23" s="30">
        <v>6642</v>
      </c>
      <c r="H23" s="44">
        <f>D23+E23+F23+G23</f>
        <v>23181</v>
      </c>
      <c r="I23" s="29">
        <v>7470</v>
      </c>
      <c r="J23" s="9">
        <v>1189</v>
      </c>
      <c r="K23" s="9">
        <v>8800</v>
      </c>
      <c r="L23" s="30">
        <v>6642</v>
      </c>
      <c r="M23" s="44">
        <v>24101</v>
      </c>
      <c r="N23" s="9">
        <f>M23-H23</f>
        <v>920</v>
      </c>
      <c r="O23" s="31">
        <f>N23/H23</f>
        <v>0.03968767525128338</v>
      </c>
      <c r="Q23" s="23"/>
    </row>
    <row r="24" spans="1:17" ht="12.75">
      <c r="A24" s="39"/>
      <c r="B24" s="40"/>
      <c r="C24" s="40" t="s">
        <v>28</v>
      </c>
      <c r="D24" s="29">
        <v>7590</v>
      </c>
      <c r="E24" s="9">
        <v>1189</v>
      </c>
      <c r="F24" s="9">
        <v>8300</v>
      </c>
      <c r="G24" s="30">
        <v>6642</v>
      </c>
      <c r="H24" s="44">
        <f>D24+E24+F24+G24</f>
        <v>23721</v>
      </c>
      <c r="I24" s="29">
        <v>8040</v>
      </c>
      <c r="J24" s="9">
        <v>1189</v>
      </c>
      <c r="K24" s="9">
        <v>8800</v>
      </c>
      <c r="L24" s="30">
        <v>6642</v>
      </c>
      <c r="M24" s="44">
        <v>24671</v>
      </c>
      <c r="N24" s="9">
        <f>M24-H24</f>
        <v>950</v>
      </c>
      <c r="O24" s="31">
        <f>N24/H24</f>
        <v>0.04004890181695544</v>
      </c>
      <c r="Q24" s="23"/>
    </row>
    <row r="25" spans="1:17" ht="12.75">
      <c r="A25" s="39"/>
      <c r="B25" s="40"/>
      <c r="C25" s="40" t="s">
        <v>29</v>
      </c>
      <c r="D25" s="29">
        <v>8670</v>
      </c>
      <c r="E25" s="9">
        <v>1189</v>
      </c>
      <c r="F25" s="9">
        <v>8300</v>
      </c>
      <c r="G25" s="30">
        <v>6642</v>
      </c>
      <c r="H25" s="44">
        <f>D25+E25+F25+G25</f>
        <v>24801</v>
      </c>
      <c r="I25" s="29">
        <v>9180</v>
      </c>
      <c r="J25" s="9">
        <v>1189</v>
      </c>
      <c r="K25" s="9">
        <v>8800</v>
      </c>
      <c r="L25" s="30">
        <v>6642</v>
      </c>
      <c r="M25" s="44">
        <v>25811</v>
      </c>
      <c r="N25" s="9">
        <f>M25-H25</f>
        <v>1010</v>
      </c>
      <c r="O25" s="31">
        <f>N25/H25</f>
        <v>0.040724164348211765</v>
      </c>
      <c r="Q25" s="23"/>
    </row>
    <row r="26" spans="1:17" ht="12.75">
      <c r="A26" s="39"/>
      <c r="B26" s="40"/>
      <c r="C26" s="40" t="s">
        <v>22</v>
      </c>
      <c r="D26" s="32">
        <v>10110</v>
      </c>
      <c r="E26" s="33">
        <v>1189</v>
      </c>
      <c r="F26" s="9">
        <v>8300</v>
      </c>
      <c r="G26" s="34">
        <v>6642</v>
      </c>
      <c r="H26" s="45">
        <f>D26+E26+F26+G26</f>
        <v>26241</v>
      </c>
      <c r="I26" s="32">
        <v>10710</v>
      </c>
      <c r="J26" s="33">
        <v>1189</v>
      </c>
      <c r="K26" s="33">
        <v>8800</v>
      </c>
      <c r="L26" s="34">
        <v>6642</v>
      </c>
      <c r="M26" s="45">
        <v>27341</v>
      </c>
      <c r="N26" s="33">
        <f>M26-H26</f>
        <v>1100</v>
      </c>
      <c r="O26" s="35">
        <f>N26/H26</f>
        <v>0.04191913417933768</v>
      </c>
      <c r="Q26" s="23"/>
    </row>
    <row r="27" spans="1:17" ht="12.75">
      <c r="A27" s="46"/>
      <c r="B27" s="47" t="s">
        <v>3</v>
      </c>
      <c r="C27" s="47"/>
      <c r="D27" s="29"/>
      <c r="E27" s="9"/>
      <c r="F27" s="38"/>
      <c r="G27" s="30"/>
      <c r="H27" s="44"/>
      <c r="I27" s="29"/>
      <c r="J27" s="9"/>
      <c r="K27" s="38"/>
      <c r="L27" s="30"/>
      <c r="M27" s="44"/>
      <c r="N27" s="9"/>
      <c r="O27" s="31"/>
      <c r="Q27" s="23"/>
    </row>
    <row r="28" spans="1:17" ht="12.75">
      <c r="A28" s="39"/>
      <c r="B28" s="40"/>
      <c r="C28" s="40" t="s">
        <v>20</v>
      </c>
      <c r="D28" s="29">
        <v>8532</v>
      </c>
      <c r="E28" s="9">
        <v>1189</v>
      </c>
      <c r="F28" s="9">
        <v>8901</v>
      </c>
      <c r="G28" s="30">
        <v>6642</v>
      </c>
      <c r="H28" s="44">
        <f>D28+E28+F28+G28</f>
        <v>25264</v>
      </c>
      <c r="I28" s="29">
        <v>8960</v>
      </c>
      <c r="J28" s="9">
        <v>1189</v>
      </c>
      <c r="K28" s="9">
        <v>8910</v>
      </c>
      <c r="L28" s="30">
        <v>6642</v>
      </c>
      <c r="M28" s="44">
        <v>25701</v>
      </c>
      <c r="N28" s="9">
        <f>M28-H28</f>
        <v>437</v>
      </c>
      <c r="O28" s="31">
        <f>N28/H28</f>
        <v>0.01729734008866371</v>
      </c>
      <c r="Q28" s="23"/>
    </row>
    <row r="29" spans="1:17" ht="12.75">
      <c r="A29" s="39"/>
      <c r="B29" s="40"/>
      <c r="C29" s="40" t="s">
        <v>19</v>
      </c>
      <c r="D29" s="29">
        <v>9822</v>
      </c>
      <c r="E29" s="9">
        <v>1189</v>
      </c>
      <c r="F29" s="9">
        <v>8901</v>
      </c>
      <c r="G29" s="30">
        <v>6642</v>
      </c>
      <c r="H29" s="44">
        <f>D29+E29+F29+G29</f>
        <v>26554</v>
      </c>
      <c r="I29" s="29">
        <v>10314</v>
      </c>
      <c r="J29" s="9">
        <v>1189</v>
      </c>
      <c r="K29" s="9">
        <v>8910</v>
      </c>
      <c r="L29" s="30">
        <v>6642</v>
      </c>
      <c r="M29" s="44">
        <v>27055</v>
      </c>
      <c r="N29" s="9">
        <f>M29-H29</f>
        <v>501</v>
      </c>
      <c r="O29" s="31">
        <f>N29/H29</f>
        <v>0.018867213979061534</v>
      </c>
      <c r="Q29" s="23"/>
    </row>
    <row r="30" spans="1:17" ht="12.75">
      <c r="A30" s="39"/>
      <c r="B30" s="40"/>
      <c r="C30" s="40" t="s">
        <v>18</v>
      </c>
      <c r="D30" s="29">
        <v>9822</v>
      </c>
      <c r="E30" s="9">
        <v>1189</v>
      </c>
      <c r="F30" s="9">
        <v>8901</v>
      </c>
      <c r="G30" s="30">
        <v>6642</v>
      </c>
      <c r="H30" s="44">
        <f>D30+E30+F30+G30</f>
        <v>26554</v>
      </c>
      <c r="I30" s="29">
        <v>10314</v>
      </c>
      <c r="J30" s="9">
        <v>1189</v>
      </c>
      <c r="K30" s="9">
        <v>8910</v>
      </c>
      <c r="L30" s="30">
        <v>6642</v>
      </c>
      <c r="M30" s="44">
        <v>27055</v>
      </c>
      <c r="N30" s="9">
        <f>M30-H30</f>
        <v>501</v>
      </c>
      <c r="O30" s="31">
        <f>N30/H30</f>
        <v>0.018867213979061534</v>
      </c>
      <c r="Q30" s="23"/>
    </row>
    <row r="31" spans="1:17" ht="13.5" thickBot="1">
      <c r="A31" s="39"/>
      <c r="B31" s="40"/>
      <c r="C31" s="40" t="s">
        <v>21</v>
      </c>
      <c r="D31" s="81">
        <v>13438</v>
      </c>
      <c r="E31" s="9">
        <v>1189</v>
      </c>
      <c r="F31" s="9">
        <v>8901</v>
      </c>
      <c r="G31" s="30">
        <v>6642</v>
      </c>
      <c r="H31" s="44">
        <f>D31+E31+F31+G31</f>
        <v>30170</v>
      </c>
      <c r="I31" s="81">
        <v>14110</v>
      </c>
      <c r="J31" s="9">
        <v>1189</v>
      </c>
      <c r="K31" s="9">
        <v>8910</v>
      </c>
      <c r="L31" s="30">
        <v>6642</v>
      </c>
      <c r="M31" s="44">
        <v>30851</v>
      </c>
      <c r="N31" s="9">
        <f>M31-H31</f>
        <v>681</v>
      </c>
      <c r="O31" s="31">
        <f>N31/H31</f>
        <v>0.02257209148160424</v>
      </c>
      <c r="Q31" s="23"/>
    </row>
    <row r="32" spans="1:15" ht="13.5" thickBot="1">
      <c r="A32" s="165" t="s">
        <v>46</v>
      </c>
      <c r="B32" s="166"/>
      <c r="C32" s="171"/>
      <c r="D32" s="172"/>
      <c r="E32" s="168"/>
      <c r="F32" s="168"/>
      <c r="G32" s="168"/>
      <c r="H32" s="173"/>
      <c r="I32" s="172"/>
      <c r="J32" s="168"/>
      <c r="K32" s="168"/>
      <c r="L32" s="168"/>
      <c r="M32" s="173"/>
      <c r="N32" s="168"/>
      <c r="O32" s="170"/>
    </row>
    <row r="33" spans="1:15" ht="12.75">
      <c r="A33" s="41"/>
      <c r="B33" s="42" t="s">
        <v>0</v>
      </c>
      <c r="C33" s="42"/>
      <c r="D33" s="51"/>
      <c r="E33" s="30"/>
      <c r="F33" s="30"/>
      <c r="G33" s="49"/>
      <c r="H33" s="50"/>
      <c r="I33" s="51"/>
      <c r="J33" s="30"/>
      <c r="K33" s="30"/>
      <c r="L33" s="49"/>
      <c r="M33" s="50"/>
      <c r="N33" s="49"/>
      <c r="O33" s="43"/>
    </row>
    <row r="34" spans="1:16" ht="12.75">
      <c r="A34" s="39"/>
      <c r="B34" s="40"/>
      <c r="C34" s="40" t="s">
        <v>14</v>
      </c>
      <c r="D34" s="29">
        <v>7980</v>
      </c>
      <c r="E34" s="9">
        <v>959.86</v>
      </c>
      <c r="F34" s="80">
        <v>10210</v>
      </c>
      <c r="G34" s="30">
        <v>6642</v>
      </c>
      <c r="H34" s="44">
        <v>25791.86</v>
      </c>
      <c r="I34" s="29">
        <v>8460</v>
      </c>
      <c r="J34" s="9">
        <v>1015.66</v>
      </c>
      <c r="K34" s="80">
        <v>10590</v>
      </c>
      <c r="L34" s="30">
        <v>6642</v>
      </c>
      <c r="M34" s="44">
        <v>26707.66</v>
      </c>
      <c r="N34" s="9">
        <v>915.7999999999993</v>
      </c>
      <c r="O34" s="31">
        <v>0.03550732673021641</v>
      </c>
      <c r="P34" s="18"/>
    </row>
    <row r="35" spans="1:19" ht="12.75">
      <c r="A35" s="39"/>
      <c r="B35" s="40"/>
      <c r="C35" s="78" t="s">
        <v>33</v>
      </c>
      <c r="D35" s="68">
        <v>8580</v>
      </c>
      <c r="E35" s="33">
        <v>959.86</v>
      </c>
      <c r="F35" s="104">
        <v>10210</v>
      </c>
      <c r="G35" s="34">
        <v>6642</v>
      </c>
      <c r="H35" s="45">
        <v>26391.86</v>
      </c>
      <c r="I35" s="68">
        <v>9097.5</v>
      </c>
      <c r="J35" s="33">
        <v>1015.66</v>
      </c>
      <c r="K35" s="104">
        <v>10590</v>
      </c>
      <c r="L35" s="34">
        <v>6642</v>
      </c>
      <c r="M35" s="45">
        <v>27345.16</v>
      </c>
      <c r="N35" s="33">
        <v>953.2999999999993</v>
      </c>
      <c r="O35" s="35">
        <v>0.036120985788800006</v>
      </c>
      <c r="P35" s="18"/>
      <c r="S35" s="23"/>
    </row>
    <row r="36" spans="1:16" ht="12.75">
      <c r="A36" s="46"/>
      <c r="B36" s="47" t="s">
        <v>3</v>
      </c>
      <c r="C36" s="47"/>
      <c r="D36" s="29"/>
      <c r="E36" s="9"/>
      <c r="F36" s="10"/>
      <c r="G36" s="30"/>
      <c r="H36" s="44"/>
      <c r="I36" s="29"/>
      <c r="J36" s="9"/>
      <c r="K36" s="10"/>
      <c r="L36" s="30"/>
      <c r="M36" s="44"/>
      <c r="N36" s="9"/>
      <c r="O36" s="31"/>
      <c r="P36" s="18"/>
    </row>
    <row r="37" spans="1:16" ht="12.75">
      <c r="A37" s="39"/>
      <c r="B37" s="40"/>
      <c r="C37" s="40" t="s">
        <v>8</v>
      </c>
      <c r="D37" s="29">
        <v>7712</v>
      </c>
      <c r="E37" s="9">
        <v>959.86</v>
      </c>
      <c r="F37" s="9">
        <v>8901</v>
      </c>
      <c r="G37" s="30">
        <v>6642</v>
      </c>
      <c r="H37" s="44">
        <v>24214.86</v>
      </c>
      <c r="I37" s="29">
        <v>8020</v>
      </c>
      <c r="J37" s="9">
        <v>1015.66</v>
      </c>
      <c r="K37" s="9">
        <v>8910</v>
      </c>
      <c r="L37" s="30">
        <v>6642</v>
      </c>
      <c r="M37" s="44">
        <v>24587.66</v>
      </c>
      <c r="N37" s="9">
        <v>372.7999999999993</v>
      </c>
      <c r="O37" s="31">
        <v>0.015395505074156914</v>
      </c>
      <c r="P37" s="18"/>
    </row>
    <row r="38" spans="1:16" ht="12.75">
      <c r="A38" s="39"/>
      <c r="B38" s="40"/>
      <c r="C38" s="16" t="s">
        <v>9</v>
      </c>
      <c r="D38" s="29">
        <v>9306</v>
      </c>
      <c r="E38" s="9">
        <v>959.86</v>
      </c>
      <c r="F38" s="9">
        <v>8901</v>
      </c>
      <c r="G38" s="30">
        <v>6642</v>
      </c>
      <c r="H38" s="44">
        <v>25808.86</v>
      </c>
      <c r="I38" s="29">
        <v>9678</v>
      </c>
      <c r="J38" s="9">
        <v>1015.66</v>
      </c>
      <c r="K38" s="9">
        <v>8910</v>
      </c>
      <c r="L38" s="30">
        <v>6642</v>
      </c>
      <c r="M38" s="44">
        <v>26245.66</v>
      </c>
      <c r="N38" s="9">
        <v>436.7999999999993</v>
      </c>
      <c r="O38" s="31">
        <v>0.016924420528454154</v>
      </c>
      <c r="P38" s="18"/>
    </row>
    <row r="39" spans="1:16" ht="14.25">
      <c r="A39" s="39"/>
      <c r="B39" s="40"/>
      <c r="C39" s="16" t="s">
        <v>61</v>
      </c>
      <c r="D39" s="29">
        <v>9408</v>
      </c>
      <c r="E39" s="9">
        <v>959.86</v>
      </c>
      <c r="F39" s="9">
        <v>8901</v>
      </c>
      <c r="G39" s="30">
        <v>6642</v>
      </c>
      <c r="H39" s="44">
        <v>25910.86</v>
      </c>
      <c r="I39" s="29">
        <v>9784</v>
      </c>
      <c r="J39" s="9">
        <v>1015.66</v>
      </c>
      <c r="K39" s="9">
        <v>8910</v>
      </c>
      <c r="L39" s="30">
        <v>6642</v>
      </c>
      <c r="M39" s="44">
        <v>26351.66</v>
      </c>
      <c r="N39" s="9">
        <v>440.7999999999993</v>
      </c>
      <c r="O39" s="31">
        <v>0.017012171730309195</v>
      </c>
      <c r="P39" s="18"/>
    </row>
    <row r="40" spans="1:16" ht="12.75">
      <c r="A40" s="39"/>
      <c r="B40" s="40"/>
      <c r="C40" s="40" t="s">
        <v>35</v>
      </c>
      <c r="D40" s="29">
        <v>10744</v>
      </c>
      <c r="E40" s="9">
        <v>959.86</v>
      </c>
      <c r="F40" s="9">
        <v>8901</v>
      </c>
      <c r="G40" s="30">
        <v>6642</v>
      </c>
      <c r="H40" s="44">
        <v>27246.86</v>
      </c>
      <c r="I40" s="29">
        <v>11174</v>
      </c>
      <c r="J40" s="9">
        <v>1015.66</v>
      </c>
      <c r="K40" s="9">
        <v>8910</v>
      </c>
      <c r="L40" s="30">
        <v>6642</v>
      </c>
      <c r="M40" s="44">
        <v>27741.66</v>
      </c>
      <c r="N40" s="9">
        <v>494.7999999999993</v>
      </c>
      <c r="O40" s="31">
        <v>0.01815989071768267</v>
      </c>
      <c r="P40" s="18"/>
    </row>
    <row r="41" spans="1:16" ht="12.75">
      <c r="A41" s="39"/>
      <c r="B41" s="40"/>
      <c r="C41" s="40" t="s">
        <v>10</v>
      </c>
      <c r="D41" s="29">
        <v>9408</v>
      </c>
      <c r="E41" s="9">
        <v>959.86</v>
      </c>
      <c r="F41" s="9">
        <v>8901</v>
      </c>
      <c r="G41" s="30">
        <v>6642</v>
      </c>
      <c r="H41" s="44">
        <v>25910.86</v>
      </c>
      <c r="I41" s="29">
        <v>9784</v>
      </c>
      <c r="J41" s="9">
        <v>1015.66</v>
      </c>
      <c r="K41" s="9">
        <v>8910</v>
      </c>
      <c r="L41" s="30">
        <v>6642</v>
      </c>
      <c r="M41" s="44">
        <v>26351.66</v>
      </c>
      <c r="N41" s="9">
        <v>440.7999999999993</v>
      </c>
      <c r="O41" s="31">
        <v>0.017012171730309195</v>
      </c>
      <c r="P41" s="18"/>
    </row>
    <row r="42" spans="1:18" ht="12.75">
      <c r="A42" s="39"/>
      <c r="B42" s="40"/>
      <c r="C42" s="40" t="s">
        <v>7</v>
      </c>
      <c r="D42" s="29">
        <v>7942</v>
      </c>
      <c r="E42" s="9">
        <v>959.86</v>
      </c>
      <c r="F42" s="9">
        <v>8901</v>
      </c>
      <c r="G42" s="30">
        <v>6642</v>
      </c>
      <c r="H42" s="44">
        <v>24444.86</v>
      </c>
      <c r="I42" s="29">
        <v>8260</v>
      </c>
      <c r="J42" s="9">
        <v>1015.66</v>
      </c>
      <c r="K42" s="9">
        <v>8910</v>
      </c>
      <c r="L42" s="30">
        <v>6642</v>
      </c>
      <c r="M42" s="44">
        <v>24827.66</v>
      </c>
      <c r="N42" s="9">
        <v>382.7999999999993</v>
      </c>
      <c r="O42" s="31">
        <v>0.015659733784525634</v>
      </c>
      <c r="P42" s="18"/>
      <c r="Q42" s="17"/>
      <c r="R42" s="17"/>
    </row>
    <row r="43" spans="1:16" ht="13.5" thickBot="1">
      <c r="A43" s="109"/>
      <c r="B43" s="87"/>
      <c r="C43" s="87" t="s">
        <v>30</v>
      </c>
      <c r="D43" s="81">
        <v>10780</v>
      </c>
      <c r="E43" s="36">
        <v>959.86</v>
      </c>
      <c r="F43" s="36">
        <v>8901</v>
      </c>
      <c r="G43" s="37">
        <v>6642</v>
      </c>
      <c r="H43" s="55">
        <v>27282.86</v>
      </c>
      <c r="I43" s="81">
        <v>11212</v>
      </c>
      <c r="J43" s="36">
        <v>1015.66</v>
      </c>
      <c r="K43" s="36">
        <v>8910</v>
      </c>
      <c r="L43" s="37">
        <v>6642</v>
      </c>
      <c r="M43" s="55">
        <v>27779.66</v>
      </c>
      <c r="N43" s="36">
        <v>496.7999999999993</v>
      </c>
      <c r="O43" s="106">
        <v>0.01820923466234842</v>
      </c>
      <c r="P43" s="18"/>
    </row>
    <row r="44" spans="1:16" ht="15" thickBot="1">
      <c r="A44" s="165" t="s">
        <v>87</v>
      </c>
      <c r="B44" s="166"/>
      <c r="C44" s="167"/>
      <c r="D44" s="168"/>
      <c r="E44" s="168"/>
      <c r="F44" s="168"/>
      <c r="G44" s="168"/>
      <c r="H44" s="169"/>
      <c r="I44" s="168"/>
      <c r="J44" s="168"/>
      <c r="K44" s="168"/>
      <c r="L44" s="168"/>
      <c r="M44" s="169"/>
      <c r="N44" s="168"/>
      <c r="O44" s="170"/>
      <c r="P44" s="18"/>
    </row>
    <row r="45" spans="1:23" s="12" customFormat="1" ht="12.75">
      <c r="A45" s="69"/>
      <c r="B45" s="84" t="s">
        <v>0</v>
      </c>
      <c r="C45" s="70"/>
      <c r="D45" s="69"/>
      <c r="E45" s="84"/>
      <c r="F45" s="84"/>
      <c r="G45" s="83"/>
      <c r="H45" s="71"/>
      <c r="I45" s="69"/>
      <c r="J45" s="84"/>
      <c r="K45" s="84"/>
      <c r="L45" s="83"/>
      <c r="M45" s="71"/>
      <c r="N45" s="69"/>
      <c r="O45" s="86"/>
      <c r="P45" s="19"/>
      <c r="Q45" s="11"/>
      <c r="R45" s="11"/>
      <c r="S45" s="11"/>
      <c r="T45" s="11"/>
      <c r="U45" s="11"/>
      <c r="V45" s="11"/>
      <c r="W45" s="11"/>
    </row>
    <row r="46" spans="1:23" s="12" customFormat="1" ht="12.75">
      <c r="A46" s="88"/>
      <c r="B46" s="16"/>
      <c r="C46" s="112" t="s">
        <v>13</v>
      </c>
      <c r="D46" s="29">
        <v>10200</v>
      </c>
      <c r="E46" s="9">
        <v>266.7</v>
      </c>
      <c r="F46" s="9">
        <v>8901</v>
      </c>
      <c r="G46" s="30">
        <v>6642</v>
      </c>
      <c r="H46" s="44">
        <v>26009.7</v>
      </c>
      <c r="I46" s="29">
        <v>10800</v>
      </c>
      <c r="J46" s="9">
        <v>266.7</v>
      </c>
      <c r="K46" s="9">
        <v>8910</v>
      </c>
      <c r="L46" s="30">
        <v>6642</v>
      </c>
      <c r="M46" s="44">
        <v>26618.7</v>
      </c>
      <c r="N46" s="29">
        <v>609</v>
      </c>
      <c r="O46" s="74">
        <v>0.02341434157256716</v>
      </c>
      <c r="P46" s="19"/>
      <c r="Q46" s="11"/>
      <c r="R46" s="11"/>
      <c r="S46" s="11"/>
      <c r="T46" s="11"/>
      <c r="U46" s="11"/>
      <c r="V46" s="11"/>
      <c r="W46" s="11"/>
    </row>
    <row r="47" spans="1:23" s="12" customFormat="1" ht="12.75">
      <c r="A47" s="72"/>
      <c r="B47" s="139"/>
      <c r="C47" s="95" t="s">
        <v>56</v>
      </c>
      <c r="D47" s="32">
        <v>10200</v>
      </c>
      <c r="E47" s="33">
        <v>266.7</v>
      </c>
      <c r="F47" s="33">
        <v>8901</v>
      </c>
      <c r="G47" s="34">
        <v>6642</v>
      </c>
      <c r="H47" s="45">
        <v>26009.7</v>
      </c>
      <c r="I47" s="32">
        <v>10500</v>
      </c>
      <c r="J47" s="33">
        <v>266.7</v>
      </c>
      <c r="K47" s="33">
        <v>8910</v>
      </c>
      <c r="L47" s="34">
        <v>6642</v>
      </c>
      <c r="M47" s="45">
        <v>26318.7</v>
      </c>
      <c r="N47" s="32">
        <v>309</v>
      </c>
      <c r="O47" s="75">
        <v>0.011880183162435552</v>
      </c>
      <c r="P47" s="19"/>
      <c r="Q47" s="11"/>
      <c r="R47" s="11"/>
      <c r="S47" s="11"/>
      <c r="T47" s="11"/>
      <c r="U47" s="11"/>
      <c r="V47" s="11"/>
      <c r="W47" s="11"/>
    </row>
    <row r="48" spans="1:23" s="12" customFormat="1" ht="12.75">
      <c r="A48" s="88"/>
      <c r="B48" s="16" t="s">
        <v>3</v>
      </c>
      <c r="C48" s="16"/>
      <c r="D48" s="29"/>
      <c r="E48" s="9"/>
      <c r="F48" s="9"/>
      <c r="G48" s="9"/>
      <c r="H48" s="44"/>
      <c r="I48" s="29"/>
      <c r="J48" s="9"/>
      <c r="K48" s="9"/>
      <c r="L48" s="9"/>
      <c r="M48" s="44"/>
      <c r="N48" s="29" t="s">
        <v>36</v>
      </c>
      <c r="O48" s="74" t="s">
        <v>36</v>
      </c>
      <c r="P48" s="19"/>
      <c r="Q48" s="11"/>
      <c r="R48" s="11"/>
      <c r="S48" s="11"/>
      <c r="T48" s="11"/>
      <c r="U48" s="11"/>
      <c r="V48" s="11"/>
      <c r="W48" s="11"/>
    </row>
    <row r="49" spans="1:23" s="12" customFormat="1" ht="12.75">
      <c r="A49" s="88"/>
      <c r="B49" s="16"/>
      <c r="C49" s="40" t="s">
        <v>57</v>
      </c>
      <c r="D49" s="29">
        <v>10710</v>
      </c>
      <c r="E49" s="9">
        <v>266.7</v>
      </c>
      <c r="F49" s="9">
        <v>8901</v>
      </c>
      <c r="G49" s="30">
        <v>6642</v>
      </c>
      <c r="H49" s="44">
        <v>26519.7</v>
      </c>
      <c r="I49" s="29">
        <v>10710</v>
      </c>
      <c r="J49" s="9">
        <v>266.7</v>
      </c>
      <c r="K49" s="9">
        <v>8910</v>
      </c>
      <c r="L49" s="30">
        <v>6642</v>
      </c>
      <c r="M49" s="44">
        <v>26528.7</v>
      </c>
      <c r="N49" s="29">
        <v>9</v>
      </c>
      <c r="O49" s="74">
        <v>0.0003393703548682677</v>
      </c>
      <c r="P49" s="19"/>
      <c r="Q49" s="11"/>
      <c r="R49" s="11"/>
      <c r="S49" s="11"/>
      <c r="T49" s="11"/>
      <c r="U49" s="11"/>
      <c r="V49" s="11"/>
      <c r="W49" s="11"/>
    </row>
    <row r="50" spans="1:23" s="12" customFormat="1" ht="12.75">
      <c r="A50" s="88"/>
      <c r="B50" s="16"/>
      <c r="C50" s="16" t="s">
        <v>31</v>
      </c>
      <c r="D50" s="29">
        <v>4860</v>
      </c>
      <c r="E50" s="9">
        <v>266.7</v>
      </c>
      <c r="F50" s="9">
        <v>8901</v>
      </c>
      <c r="G50" s="30">
        <v>6642</v>
      </c>
      <c r="H50" s="44">
        <v>20669.7</v>
      </c>
      <c r="I50" s="29">
        <v>5580</v>
      </c>
      <c r="J50" s="9">
        <v>266.7</v>
      </c>
      <c r="K50" s="9">
        <v>8910</v>
      </c>
      <c r="L50" s="30">
        <v>6642</v>
      </c>
      <c r="M50" s="44">
        <v>21398.7</v>
      </c>
      <c r="N50" s="29">
        <v>729</v>
      </c>
      <c r="O50" s="74">
        <v>0.03526901696686454</v>
      </c>
      <c r="P50" s="19"/>
      <c r="Q50" s="11"/>
      <c r="R50" s="11"/>
      <c r="S50" s="11"/>
      <c r="T50" s="11"/>
      <c r="U50" s="11"/>
      <c r="V50" s="11"/>
      <c r="W50" s="11"/>
    </row>
    <row r="51" spans="1:23" s="12" customFormat="1" ht="12.75">
      <c r="A51" s="88"/>
      <c r="B51" s="16"/>
      <c r="C51" s="40" t="s">
        <v>48</v>
      </c>
      <c r="D51" s="29">
        <v>19170</v>
      </c>
      <c r="E51" s="9">
        <v>266.7</v>
      </c>
      <c r="F51" s="9">
        <v>8901</v>
      </c>
      <c r="G51" s="30">
        <v>6642</v>
      </c>
      <c r="H51" s="44">
        <v>34979.7</v>
      </c>
      <c r="I51" s="29">
        <v>20220</v>
      </c>
      <c r="J51" s="9">
        <v>266.7</v>
      </c>
      <c r="K51" s="9">
        <v>8910</v>
      </c>
      <c r="L51" s="30">
        <v>6642</v>
      </c>
      <c r="M51" s="44">
        <v>36038.7</v>
      </c>
      <c r="N51" s="29">
        <v>1059</v>
      </c>
      <c r="O51" s="74">
        <v>0.030274702184409818</v>
      </c>
      <c r="P51" s="19"/>
      <c r="Q51" s="11"/>
      <c r="R51" s="11"/>
      <c r="S51" s="11"/>
      <c r="T51" s="11"/>
      <c r="U51" s="11"/>
      <c r="V51" s="11"/>
      <c r="W51" s="11"/>
    </row>
    <row r="52" spans="1:23" s="12" customFormat="1" ht="12.75">
      <c r="A52" s="88"/>
      <c r="B52" s="16"/>
      <c r="C52" s="40" t="s">
        <v>49</v>
      </c>
      <c r="D52" s="29">
        <v>11970</v>
      </c>
      <c r="E52" s="9">
        <v>266.7</v>
      </c>
      <c r="F52" s="9">
        <v>8901</v>
      </c>
      <c r="G52" s="30">
        <v>6642</v>
      </c>
      <c r="H52" s="44">
        <v>27779.7</v>
      </c>
      <c r="I52" s="29">
        <v>12630</v>
      </c>
      <c r="J52" s="9">
        <v>266.7</v>
      </c>
      <c r="K52" s="9">
        <v>8910</v>
      </c>
      <c r="L52" s="30">
        <v>6642</v>
      </c>
      <c r="M52" s="44">
        <v>28448.7</v>
      </c>
      <c r="N52" s="29">
        <v>669</v>
      </c>
      <c r="O52" s="74">
        <v>0.024082333502521626</v>
      </c>
      <c r="P52" s="19"/>
      <c r="Q52" s="11"/>
      <c r="R52" s="11"/>
      <c r="S52" s="11"/>
      <c r="T52" s="11"/>
      <c r="U52" s="11"/>
      <c r="V52" s="11"/>
      <c r="W52" s="11"/>
    </row>
    <row r="53" spans="1:23" s="12" customFormat="1" ht="12.75">
      <c r="A53" s="88"/>
      <c r="B53" s="16"/>
      <c r="C53" s="16" t="s">
        <v>62</v>
      </c>
      <c r="D53" s="29">
        <v>11970</v>
      </c>
      <c r="E53" s="9">
        <v>266.7</v>
      </c>
      <c r="F53" s="9">
        <v>8901</v>
      </c>
      <c r="G53" s="30">
        <v>6642</v>
      </c>
      <c r="H53" s="44">
        <v>27779.7</v>
      </c>
      <c r="I53" s="29">
        <v>12630</v>
      </c>
      <c r="J53" s="9">
        <v>266.7</v>
      </c>
      <c r="K53" s="9">
        <v>8910</v>
      </c>
      <c r="L53" s="30">
        <v>6642</v>
      </c>
      <c r="M53" s="44">
        <v>28448.7</v>
      </c>
      <c r="N53" s="29">
        <v>669</v>
      </c>
      <c r="O53" s="74">
        <v>0.024082333502521626</v>
      </c>
      <c r="P53" s="19"/>
      <c r="Q53" s="11"/>
      <c r="R53" s="11"/>
      <c r="S53" s="11"/>
      <c r="T53" s="11"/>
      <c r="U53" s="11"/>
      <c r="V53" s="11"/>
      <c r="W53" s="11"/>
    </row>
    <row r="54" spans="1:23" s="12" customFormat="1" ht="12.75">
      <c r="A54" s="88"/>
      <c r="B54" s="16"/>
      <c r="C54" s="16" t="s">
        <v>63</v>
      </c>
      <c r="D54" s="29">
        <v>12300</v>
      </c>
      <c r="E54" s="9">
        <v>266.7</v>
      </c>
      <c r="F54" s="9">
        <v>8901</v>
      </c>
      <c r="G54" s="30">
        <v>6642</v>
      </c>
      <c r="H54" s="44">
        <v>28109.7</v>
      </c>
      <c r="I54" s="29">
        <v>13290</v>
      </c>
      <c r="J54" s="9">
        <v>266.7</v>
      </c>
      <c r="K54" s="9">
        <v>8910</v>
      </c>
      <c r="L54" s="30">
        <v>6642</v>
      </c>
      <c r="M54" s="44">
        <v>29108.7</v>
      </c>
      <c r="N54" s="29">
        <v>999</v>
      </c>
      <c r="O54" s="74">
        <v>0.035539333397368165</v>
      </c>
      <c r="P54" s="19"/>
      <c r="Q54" s="11"/>
      <c r="R54" s="11"/>
      <c r="S54" s="11"/>
      <c r="T54" s="11"/>
      <c r="U54" s="11"/>
      <c r="V54" s="11"/>
      <c r="W54" s="11"/>
    </row>
    <row r="55" spans="1:23" s="12" customFormat="1" ht="12.75">
      <c r="A55" s="88"/>
      <c r="B55" s="16"/>
      <c r="C55" s="40" t="s">
        <v>27</v>
      </c>
      <c r="D55" s="29">
        <v>15900</v>
      </c>
      <c r="E55" s="9">
        <v>266.7</v>
      </c>
      <c r="F55" s="9">
        <v>8901</v>
      </c>
      <c r="G55" s="30">
        <v>6642</v>
      </c>
      <c r="H55" s="44">
        <v>31709.7</v>
      </c>
      <c r="I55" s="29">
        <v>16695</v>
      </c>
      <c r="J55" s="9">
        <v>266.7</v>
      </c>
      <c r="K55" s="9">
        <v>8910</v>
      </c>
      <c r="L55" s="30">
        <v>6642</v>
      </c>
      <c r="M55" s="44">
        <v>32513.7</v>
      </c>
      <c r="N55" s="29">
        <v>804</v>
      </c>
      <c r="O55" s="74">
        <v>0.025355017549834907</v>
      </c>
      <c r="P55" s="19"/>
      <c r="Q55" s="11"/>
      <c r="R55" s="11"/>
      <c r="S55" s="11"/>
      <c r="T55" s="11"/>
      <c r="U55" s="11"/>
      <c r="V55" s="11"/>
      <c r="W55" s="11"/>
    </row>
    <row r="56" spans="1:23" s="12" customFormat="1" ht="14.25" customHeight="1">
      <c r="A56" s="88"/>
      <c r="B56" s="16"/>
      <c r="C56" s="40" t="s">
        <v>64</v>
      </c>
      <c r="D56" s="29">
        <v>18900</v>
      </c>
      <c r="E56" s="9">
        <v>266.7</v>
      </c>
      <c r="F56" s="9">
        <v>8901</v>
      </c>
      <c r="G56" s="30">
        <v>6642</v>
      </c>
      <c r="H56" s="44">
        <v>34709.7</v>
      </c>
      <c r="I56" s="29">
        <v>18900</v>
      </c>
      <c r="J56" s="9">
        <v>266.7</v>
      </c>
      <c r="K56" s="9">
        <v>8910</v>
      </c>
      <c r="L56" s="30">
        <v>6642</v>
      </c>
      <c r="M56" s="44">
        <v>34718.7</v>
      </c>
      <c r="N56" s="29">
        <v>9</v>
      </c>
      <c r="O56" s="74">
        <v>0.00025929351161202777</v>
      </c>
      <c r="P56" s="19"/>
      <c r="Q56" s="11"/>
      <c r="R56" s="11"/>
      <c r="S56" s="11"/>
      <c r="T56" s="11"/>
      <c r="U56" s="11"/>
      <c r="V56" s="11"/>
      <c r="W56" s="11"/>
    </row>
    <row r="57" spans="1:23" s="12" customFormat="1" ht="14.25">
      <c r="A57" s="88"/>
      <c r="B57" s="16"/>
      <c r="C57" s="40" t="s">
        <v>60</v>
      </c>
      <c r="D57" s="29"/>
      <c r="E57" s="9"/>
      <c r="F57" s="9"/>
      <c r="G57" s="30"/>
      <c r="H57" s="44"/>
      <c r="I57" s="29">
        <v>14100</v>
      </c>
      <c r="J57" s="9">
        <v>266.7</v>
      </c>
      <c r="K57" s="9">
        <v>8910</v>
      </c>
      <c r="L57" s="30">
        <v>6642</v>
      </c>
      <c r="M57" s="44">
        <v>29918.7</v>
      </c>
      <c r="N57" s="93" t="s">
        <v>54</v>
      </c>
      <c r="O57" s="94" t="s">
        <v>54</v>
      </c>
      <c r="P57" s="19"/>
      <c r="Q57" s="11"/>
      <c r="R57" s="11"/>
      <c r="S57" s="11"/>
      <c r="T57" s="11"/>
      <c r="U57" s="11"/>
      <c r="V57" s="11"/>
      <c r="W57" s="11"/>
    </row>
    <row r="58" spans="1:23" s="12" customFormat="1" ht="12.75">
      <c r="A58" s="88"/>
      <c r="B58" s="16"/>
      <c r="C58" s="16" t="s">
        <v>50</v>
      </c>
      <c r="D58" s="29">
        <v>14700</v>
      </c>
      <c r="E58" s="9">
        <v>266.7</v>
      </c>
      <c r="F58" s="9">
        <v>8901</v>
      </c>
      <c r="G58" s="30">
        <v>6642</v>
      </c>
      <c r="H58" s="44">
        <v>30509.7</v>
      </c>
      <c r="I58" s="29">
        <v>15600</v>
      </c>
      <c r="J58" s="9">
        <v>266.7</v>
      </c>
      <c r="K58" s="9">
        <v>8910</v>
      </c>
      <c r="L58" s="30">
        <v>6642</v>
      </c>
      <c r="M58" s="44">
        <v>31418.7</v>
      </c>
      <c r="N58" s="29">
        <v>909</v>
      </c>
      <c r="O58" s="74">
        <v>0.02979380328223483</v>
      </c>
      <c r="P58" s="19"/>
      <c r="Q58" s="11"/>
      <c r="R58" s="11"/>
      <c r="S58" s="11"/>
      <c r="T58" s="11"/>
      <c r="U58" s="11"/>
      <c r="V58" s="11"/>
      <c r="W58" s="11"/>
    </row>
    <row r="59" spans="1:23" s="12" customFormat="1" ht="12.75">
      <c r="A59" s="88"/>
      <c r="B59" s="16"/>
      <c r="C59" s="16" t="s">
        <v>51</v>
      </c>
      <c r="D59" s="29">
        <v>13950</v>
      </c>
      <c r="E59" s="9">
        <v>266.7</v>
      </c>
      <c r="F59" s="9">
        <v>8901</v>
      </c>
      <c r="G59" s="30">
        <v>6642</v>
      </c>
      <c r="H59" s="44">
        <v>29759.7</v>
      </c>
      <c r="I59" s="29">
        <v>15000</v>
      </c>
      <c r="J59" s="9">
        <v>266.7</v>
      </c>
      <c r="K59" s="9">
        <v>8910</v>
      </c>
      <c r="L59" s="30">
        <v>6642</v>
      </c>
      <c r="M59" s="44">
        <v>30818.7</v>
      </c>
      <c r="N59" s="29">
        <v>1059</v>
      </c>
      <c r="O59" s="74">
        <v>0.035585036139477215</v>
      </c>
      <c r="P59" s="19"/>
      <c r="Q59" s="11"/>
      <c r="R59" s="11"/>
      <c r="S59" s="11"/>
      <c r="T59" s="11"/>
      <c r="U59" s="11"/>
      <c r="V59" s="11"/>
      <c r="W59" s="11"/>
    </row>
    <row r="60" spans="1:23" s="12" customFormat="1" ht="14.25">
      <c r="A60" s="88"/>
      <c r="B60" s="16"/>
      <c r="C60" s="16" t="s">
        <v>58</v>
      </c>
      <c r="D60" s="73">
        <v>2556</v>
      </c>
      <c r="E60" s="96">
        <v>266.7</v>
      </c>
      <c r="F60" s="96">
        <v>8901</v>
      </c>
      <c r="G60" s="97">
        <v>6642</v>
      </c>
      <c r="H60" s="45">
        <v>18365.7</v>
      </c>
      <c r="I60" s="73">
        <v>2628</v>
      </c>
      <c r="J60" s="96">
        <v>266.7</v>
      </c>
      <c r="K60" s="96">
        <v>8910</v>
      </c>
      <c r="L60" s="97">
        <v>6642</v>
      </c>
      <c r="M60" s="45">
        <v>18446.7</v>
      </c>
      <c r="N60" s="73">
        <v>81</v>
      </c>
      <c r="O60" s="76">
        <v>0.004410395465460069</v>
      </c>
      <c r="P60" s="19"/>
      <c r="Q60" s="11"/>
      <c r="R60" s="11"/>
      <c r="S60" s="11"/>
      <c r="T60" s="11"/>
      <c r="U60" s="11"/>
      <c r="V60" s="11"/>
      <c r="W60" s="11"/>
    </row>
    <row r="61" spans="1:23" s="12" customFormat="1" ht="12.75">
      <c r="A61" s="89"/>
      <c r="B61" s="90" t="s">
        <v>11</v>
      </c>
      <c r="C61" s="90"/>
      <c r="D61" s="29"/>
      <c r="E61" s="9"/>
      <c r="F61" s="9"/>
      <c r="G61" s="9"/>
      <c r="H61" s="44"/>
      <c r="I61" s="29"/>
      <c r="J61" s="9"/>
      <c r="K61" s="9"/>
      <c r="L61" s="9"/>
      <c r="M61" s="44"/>
      <c r="N61" s="29" t="s">
        <v>36</v>
      </c>
      <c r="O61" s="74" t="s">
        <v>36</v>
      </c>
      <c r="P61" s="19"/>
      <c r="Q61" s="11"/>
      <c r="R61" s="11"/>
      <c r="S61" s="11"/>
      <c r="T61" s="11"/>
      <c r="U61" s="11"/>
      <c r="V61" s="11"/>
      <c r="W61" s="11"/>
    </row>
    <row r="62" spans="1:23" s="12" customFormat="1" ht="12.75">
      <c r="A62" s="88"/>
      <c r="B62" s="16"/>
      <c r="C62" s="16" t="s">
        <v>42</v>
      </c>
      <c r="D62" s="29">
        <v>32683</v>
      </c>
      <c r="E62" s="9">
        <v>266.7</v>
      </c>
      <c r="F62" s="9">
        <v>8901</v>
      </c>
      <c r="G62" s="30">
        <v>6642</v>
      </c>
      <c r="H62" s="44">
        <v>48492.7</v>
      </c>
      <c r="I62" s="29">
        <v>33663</v>
      </c>
      <c r="J62" s="9">
        <v>266.7</v>
      </c>
      <c r="K62" s="9">
        <v>8910</v>
      </c>
      <c r="L62" s="30">
        <v>6642</v>
      </c>
      <c r="M62" s="44">
        <v>49481.7</v>
      </c>
      <c r="N62" s="29">
        <v>989</v>
      </c>
      <c r="O62" s="74">
        <v>0.020394822313461614</v>
      </c>
      <c r="P62" s="19"/>
      <c r="Q62" s="11"/>
      <c r="R62" s="11"/>
      <c r="S62" s="11"/>
      <c r="T62" s="11"/>
      <c r="U62" s="11"/>
      <c r="V62" s="11"/>
      <c r="W62" s="11"/>
    </row>
    <row r="63" spans="1:23" s="12" customFormat="1" ht="12.75">
      <c r="A63" s="88"/>
      <c r="B63" s="16"/>
      <c r="C63" s="16" t="s">
        <v>43</v>
      </c>
      <c r="D63" s="29">
        <v>28867.56</v>
      </c>
      <c r="E63" s="9">
        <v>266.7</v>
      </c>
      <c r="F63" s="9">
        <v>8901</v>
      </c>
      <c r="G63" s="30">
        <v>6642</v>
      </c>
      <c r="H63" s="44">
        <v>44677.26</v>
      </c>
      <c r="I63" s="29">
        <v>30889</v>
      </c>
      <c r="J63" s="9">
        <v>266.7</v>
      </c>
      <c r="K63" s="9">
        <v>8910</v>
      </c>
      <c r="L63" s="30">
        <v>6642</v>
      </c>
      <c r="M63" s="44">
        <v>46707.7</v>
      </c>
      <c r="N63" s="29">
        <v>2030.439999999995</v>
      </c>
      <c r="O63" s="74">
        <v>0.04544683357931966</v>
      </c>
      <c r="P63" s="19"/>
      <c r="Q63" s="11"/>
      <c r="R63" s="11"/>
      <c r="S63" s="11"/>
      <c r="T63" s="11"/>
      <c r="U63" s="11"/>
      <c r="V63" s="11"/>
      <c r="W63" s="11"/>
    </row>
    <row r="64" spans="1:23" s="12" customFormat="1" ht="12.75">
      <c r="A64" s="88"/>
      <c r="B64" s="16"/>
      <c r="C64" s="16" t="s">
        <v>44</v>
      </c>
      <c r="D64" s="29">
        <v>12570</v>
      </c>
      <c r="E64" s="80">
        <v>266.7</v>
      </c>
      <c r="F64" s="9">
        <v>8901</v>
      </c>
      <c r="G64" s="30">
        <v>6642</v>
      </c>
      <c r="H64" s="44">
        <v>28379.7</v>
      </c>
      <c r="I64" s="29">
        <v>13200</v>
      </c>
      <c r="J64" s="80">
        <v>266.7</v>
      </c>
      <c r="K64" s="9">
        <v>8910</v>
      </c>
      <c r="L64" s="30">
        <v>6642</v>
      </c>
      <c r="M64" s="44">
        <v>29018.7</v>
      </c>
      <c r="N64" s="29">
        <v>639</v>
      </c>
      <c r="O64" s="74">
        <v>0.022516094250467765</v>
      </c>
      <c r="P64" s="19"/>
      <c r="Q64" s="11"/>
      <c r="R64" s="11"/>
      <c r="S64" s="11"/>
      <c r="T64" s="11"/>
      <c r="U64" s="11"/>
      <c r="V64" s="11"/>
      <c r="W64" s="11"/>
    </row>
    <row r="65" spans="1:23" s="12" customFormat="1" ht="12.75">
      <c r="A65" s="88"/>
      <c r="B65" s="16"/>
      <c r="C65" s="16" t="s">
        <v>37</v>
      </c>
      <c r="D65" s="29">
        <v>14700</v>
      </c>
      <c r="E65" s="80">
        <v>266.7</v>
      </c>
      <c r="F65" s="9">
        <v>8901</v>
      </c>
      <c r="G65" s="30">
        <v>6642</v>
      </c>
      <c r="H65" s="44">
        <v>30509.7</v>
      </c>
      <c r="I65" s="29">
        <v>15600</v>
      </c>
      <c r="J65" s="80">
        <v>266.7</v>
      </c>
      <c r="K65" s="9">
        <v>8910</v>
      </c>
      <c r="L65" s="30">
        <v>6642</v>
      </c>
      <c r="M65" s="44">
        <v>31418.7</v>
      </c>
      <c r="N65" s="29">
        <v>909</v>
      </c>
      <c r="O65" s="74">
        <v>0.02979380328223483</v>
      </c>
      <c r="P65" s="19"/>
      <c r="Q65" s="11"/>
      <c r="R65" s="11"/>
      <c r="S65" s="11"/>
      <c r="T65" s="11"/>
      <c r="U65" s="11"/>
      <c r="V65" s="11"/>
      <c r="W65" s="11"/>
    </row>
    <row r="66" spans="1:23" s="12" customFormat="1" ht="13.5" thickBot="1">
      <c r="A66" s="91"/>
      <c r="B66" s="92"/>
      <c r="C66" s="92" t="s">
        <v>45</v>
      </c>
      <c r="D66" s="81">
        <v>22582</v>
      </c>
      <c r="E66" s="36">
        <v>266.7</v>
      </c>
      <c r="F66" s="36">
        <v>8901</v>
      </c>
      <c r="G66" s="37">
        <v>6642</v>
      </c>
      <c r="H66" s="55">
        <v>38391.7</v>
      </c>
      <c r="I66" s="81">
        <v>24614</v>
      </c>
      <c r="J66" s="36">
        <v>266.7</v>
      </c>
      <c r="K66" s="36">
        <v>8910</v>
      </c>
      <c r="L66" s="37">
        <v>6642</v>
      </c>
      <c r="M66" s="55">
        <v>40432.7</v>
      </c>
      <c r="N66" s="81">
        <v>2041</v>
      </c>
      <c r="O66" s="77">
        <v>0.05316253252656174</v>
      </c>
      <c r="P66" s="19"/>
      <c r="Q66" s="11"/>
      <c r="R66" s="11"/>
      <c r="S66" s="11"/>
      <c r="T66" s="11"/>
      <c r="U66" s="11"/>
      <c r="V66" s="11"/>
      <c r="W66" s="11"/>
    </row>
    <row r="67" spans="1:23" s="7" customFormat="1" ht="19.5" customHeight="1">
      <c r="A67" s="4"/>
      <c r="B67" s="4" t="s">
        <v>23</v>
      </c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8"/>
      <c r="P67" s="6"/>
      <c r="Q67" s="6"/>
      <c r="R67" s="6"/>
      <c r="S67" s="6"/>
      <c r="T67" s="6"/>
      <c r="U67" s="6"/>
      <c r="V67" s="6"/>
      <c r="W67" s="6"/>
    </row>
    <row r="68" spans="1:23" s="7" customFormat="1" ht="15.75">
      <c r="A68" s="4"/>
      <c r="B68" s="108"/>
      <c r="C68" s="16" t="s">
        <v>79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8"/>
      <c r="P68" s="6"/>
      <c r="Q68" s="6"/>
      <c r="R68" s="6"/>
      <c r="S68" s="6"/>
      <c r="T68" s="6"/>
      <c r="U68" s="6"/>
      <c r="V68" s="6"/>
      <c r="W68" s="6"/>
    </row>
    <row r="69" spans="1:23" s="12" customFormat="1" ht="12.75">
      <c r="A69" s="16"/>
      <c r="B69" s="16"/>
      <c r="C69" s="67" t="s">
        <v>92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0"/>
      <c r="P69" s="11"/>
      <c r="Q69" s="11"/>
      <c r="R69" s="11"/>
      <c r="S69" s="11"/>
      <c r="T69" s="11"/>
      <c r="U69" s="11"/>
      <c r="V69" s="11"/>
      <c r="W69" s="11"/>
    </row>
    <row r="70" spans="3:23" s="16" customFormat="1" ht="12.75" customHeight="1">
      <c r="C70" s="67" t="s">
        <v>93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0"/>
      <c r="P70" s="27"/>
      <c r="Q70" s="27"/>
      <c r="R70" s="27"/>
      <c r="S70" s="27"/>
      <c r="T70" s="27"/>
      <c r="U70" s="27"/>
      <c r="V70" s="27"/>
      <c r="W70" s="27"/>
    </row>
    <row r="71" spans="1:23" s="12" customFormat="1" ht="14.25" customHeight="1">
      <c r="A71" s="16"/>
      <c r="B71" s="16"/>
      <c r="C71" s="16" t="s">
        <v>80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0"/>
      <c r="P71" s="11"/>
      <c r="Q71" s="11"/>
      <c r="R71" s="11"/>
      <c r="S71" s="11"/>
      <c r="T71" s="11"/>
      <c r="U71" s="11"/>
      <c r="V71" s="11"/>
      <c r="W71" s="11"/>
    </row>
    <row r="72" spans="3:23" s="12" customFormat="1" ht="25.5" customHeight="1">
      <c r="C72" s="187" t="s">
        <v>59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1"/>
      <c r="Q72" s="11"/>
      <c r="R72" s="11"/>
      <c r="S72" s="11"/>
      <c r="T72" s="11"/>
      <c r="U72" s="11"/>
      <c r="V72" s="11"/>
      <c r="W72" s="11"/>
    </row>
    <row r="73" spans="3:23" s="12" customFormat="1" ht="12.75">
      <c r="C73" s="12" t="s">
        <v>24</v>
      </c>
      <c r="H73" s="21"/>
      <c r="M73" s="21"/>
      <c r="O73" s="21"/>
      <c r="P73" s="11"/>
      <c r="Q73" s="11"/>
      <c r="R73" s="11"/>
      <c r="S73" s="11"/>
      <c r="T73" s="11"/>
      <c r="U73" s="11"/>
      <c r="V73" s="11"/>
      <c r="W73" s="11"/>
    </row>
    <row r="74" spans="3:23" s="12" customFormat="1" ht="12.75">
      <c r="C74" s="16" t="s">
        <v>34</v>
      </c>
      <c r="H74" s="21"/>
      <c r="M74" s="21"/>
      <c r="O74" s="21"/>
      <c r="P74" s="11"/>
      <c r="Q74" s="11"/>
      <c r="R74" s="11"/>
      <c r="S74" s="11"/>
      <c r="T74" s="11"/>
      <c r="U74" s="11"/>
      <c r="V74" s="11"/>
      <c r="W74" s="11"/>
    </row>
    <row r="75" spans="3:23" s="12" customFormat="1" ht="12.75">
      <c r="C75" s="16" t="s">
        <v>81</v>
      </c>
      <c r="H75" s="21"/>
      <c r="M75" s="21"/>
      <c r="O75" s="21"/>
      <c r="P75" s="11"/>
      <c r="Q75" s="11"/>
      <c r="R75" s="11"/>
      <c r="S75" s="11"/>
      <c r="T75" s="11"/>
      <c r="U75" s="11"/>
      <c r="V75" s="11"/>
      <c r="W75" s="11"/>
    </row>
    <row r="76" spans="3:23" s="12" customFormat="1" ht="12.75">
      <c r="C76" s="14" t="s">
        <v>82</v>
      </c>
      <c r="H76" s="21"/>
      <c r="M76" s="21"/>
      <c r="O76" s="21"/>
      <c r="P76" s="11"/>
      <c r="Q76" s="11"/>
      <c r="R76" s="11"/>
      <c r="S76" s="11"/>
      <c r="T76" s="11"/>
      <c r="U76" s="11"/>
      <c r="V76" s="11"/>
      <c r="W76" s="11"/>
    </row>
    <row r="77" ht="12.75">
      <c r="C77" s="14" t="s">
        <v>72</v>
      </c>
    </row>
  </sheetData>
  <sheetProtection/>
  <mergeCells count="2">
    <mergeCell ref="C72:O72"/>
    <mergeCell ref="A4:O4"/>
  </mergeCells>
  <printOptions horizontalCentered="1"/>
  <pageMargins left="0.3" right="0.31" top="0.34" bottom="0.25" header="0.22" footer="0.01"/>
  <pageSetup fitToHeight="2" horizontalDpi="600" verticalDpi="600" orientation="landscape" scale="86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SheetLayoutView="100" workbookViewId="0" topLeftCell="A1">
      <selection activeCell="O1" sqref="O1"/>
    </sheetView>
  </sheetViews>
  <sheetFormatPr defaultColWidth="9.140625" defaultRowHeight="12.75"/>
  <cols>
    <col min="1" max="1" width="2.00390625" style="14" customWidth="1"/>
    <col min="2" max="2" width="2.28125" style="14" customWidth="1"/>
    <col min="3" max="3" width="34.57421875" style="14" customWidth="1"/>
    <col min="4" max="7" width="9.7109375" style="14" customWidth="1"/>
    <col min="8" max="8" width="9.7109375" style="22" customWidth="1"/>
    <col min="9" max="12" width="9.7109375" style="14" customWidth="1"/>
    <col min="13" max="13" width="9.7109375" style="22" customWidth="1"/>
    <col min="14" max="14" width="9.7109375" style="14" customWidth="1"/>
    <col min="15" max="15" width="9.7109375" style="22" customWidth="1"/>
    <col min="16" max="20" width="8.8515625" style="13" customWidth="1"/>
    <col min="21" max="16384" width="9.140625" style="14" customWidth="1"/>
  </cols>
  <sheetData>
    <row r="1" spans="1:20" s="12" customFormat="1" ht="18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1"/>
      <c r="Q1" s="11"/>
      <c r="R1" s="11"/>
      <c r="T1" s="11"/>
    </row>
    <row r="2" spans="1:20" s="12" customFormat="1" ht="18">
      <c r="A2" s="152" t="s">
        <v>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5"/>
      <c r="Q2" s="11"/>
      <c r="R2" s="11"/>
      <c r="T2" s="11"/>
    </row>
    <row r="3" spans="1:20" s="12" customFormat="1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/>
      <c r="R3" s="11"/>
      <c r="S3" s="11"/>
      <c r="T3" s="11"/>
    </row>
    <row r="4" spans="1:20" s="12" customFormat="1" ht="18.75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1"/>
      <c r="Q4" s="11"/>
      <c r="R4" s="11"/>
      <c r="S4" s="11"/>
      <c r="T4" s="11"/>
    </row>
    <row r="5" spans="1:20" s="7" customFormat="1" ht="28.5" customHeight="1" thickBot="1">
      <c r="A5" s="163"/>
      <c r="B5" s="154"/>
      <c r="C5" s="155"/>
      <c r="D5" s="175" t="s">
        <v>67</v>
      </c>
      <c r="E5" s="182"/>
      <c r="F5" s="182"/>
      <c r="G5" s="182"/>
      <c r="H5" s="183"/>
      <c r="I5" s="175" t="s">
        <v>68</v>
      </c>
      <c r="J5" s="182"/>
      <c r="K5" s="182"/>
      <c r="L5" s="183"/>
      <c r="M5" s="175"/>
      <c r="N5" s="158" t="s">
        <v>83</v>
      </c>
      <c r="O5" s="159"/>
      <c r="P5" s="6"/>
      <c r="Q5" s="6"/>
      <c r="R5" s="6"/>
      <c r="S5" s="6"/>
      <c r="T5" s="6"/>
    </row>
    <row r="6" spans="1:20" s="7" customFormat="1" ht="16.5" customHeight="1" thickBot="1">
      <c r="A6" s="164"/>
      <c r="B6" s="160"/>
      <c r="C6" s="160"/>
      <c r="D6" s="161" t="s">
        <v>16</v>
      </c>
      <c r="E6" s="190" t="s">
        <v>84</v>
      </c>
      <c r="F6" s="190" t="s">
        <v>85</v>
      </c>
      <c r="G6" s="190" t="s">
        <v>86</v>
      </c>
      <c r="H6" s="162" t="s">
        <v>15</v>
      </c>
      <c r="I6" s="161" t="s">
        <v>16</v>
      </c>
      <c r="J6" s="190" t="s">
        <v>84</v>
      </c>
      <c r="K6" s="190" t="s">
        <v>85</v>
      </c>
      <c r="L6" s="190" t="s">
        <v>86</v>
      </c>
      <c r="M6" s="162" t="s">
        <v>15</v>
      </c>
      <c r="N6" s="191" t="s">
        <v>94</v>
      </c>
      <c r="O6" s="162" t="s">
        <v>95</v>
      </c>
      <c r="P6" s="6"/>
      <c r="Q6" s="6"/>
      <c r="R6" s="6"/>
      <c r="S6" s="6"/>
      <c r="T6" s="6"/>
    </row>
    <row r="7" spans="1:15" ht="13.5" thickBot="1">
      <c r="A7" s="165" t="s">
        <v>12</v>
      </c>
      <c r="B7" s="166"/>
      <c r="C7" s="166"/>
      <c r="D7" s="174"/>
      <c r="E7" s="166"/>
      <c r="F7" s="166"/>
      <c r="G7" s="166"/>
      <c r="H7" s="170"/>
      <c r="I7" s="166"/>
      <c r="J7" s="166"/>
      <c r="K7" s="166"/>
      <c r="L7" s="166"/>
      <c r="M7" s="170"/>
      <c r="N7" s="166"/>
      <c r="O7" s="170"/>
    </row>
    <row r="8" spans="1:15" ht="12.75">
      <c r="A8" s="41"/>
      <c r="B8" s="42" t="s">
        <v>32</v>
      </c>
      <c r="C8" s="42"/>
      <c r="D8" s="41"/>
      <c r="E8" s="42"/>
      <c r="F8" s="42"/>
      <c r="G8" s="42"/>
      <c r="H8" s="43"/>
      <c r="I8" s="41"/>
      <c r="J8" s="42"/>
      <c r="K8" s="42"/>
      <c r="L8" s="42"/>
      <c r="M8" s="43"/>
      <c r="N8" s="41"/>
      <c r="O8" s="43"/>
    </row>
    <row r="9" spans="1:15" ht="12.75">
      <c r="A9" s="39"/>
      <c r="B9" s="40"/>
      <c r="C9" s="40" t="s">
        <v>26</v>
      </c>
      <c r="D9" s="61">
        <v>29952</v>
      </c>
      <c r="E9" s="9">
        <v>1426</v>
      </c>
      <c r="F9" s="9">
        <f>5865*2</f>
        <v>11730</v>
      </c>
      <c r="G9" s="30">
        <v>6642</v>
      </c>
      <c r="H9" s="44">
        <f>D9+E9+F9+G9</f>
        <v>49750</v>
      </c>
      <c r="I9" s="61">
        <f>15264*2</f>
        <v>30528</v>
      </c>
      <c r="J9" s="9">
        <v>1583</v>
      </c>
      <c r="K9" s="9">
        <v>12258</v>
      </c>
      <c r="L9" s="30">
        <v>6642</v>
      </c>
      <c r="M9" s="44">
        <f>I9+J9+K9+L9</f>
        <v>51011</v>
      </c>
      <c r="N9" s="29">
        <f>M9-H9</f>
        <v>1261</v>
      </c>
      <c r="O9" s="31">
        <f>N9/H9</f>
        <v>0.025346733668341708</v>
      </c>
    </row>
    <row r="10" spans="1:15" ht="12.75">
      <c r="A10" s="39"/>
      <c r="B10" s="40"/>
      <c r="C10" s="40" t="s">
        <v>25</v>
      </c>
      <c r="D10" s="61">
        <v>30258</v>
      </c>
      <c r="E10" s="9">
        <v>1426</v>
      </c>
      <c r="F10" s="9">
        <f>5865*2</f>
        <v>11730</v>
      </c>
      <c r="G10" s="30">
        <v>6642</v>
      </c>
      <c r="H10" s="44">
        <f>D10+E10+F10+G10</f>
        <v>50056</v>
      </c>
      <c r="I10" s="61">
        <f>15417*2</f>
        <v>30834</v>
      </c>
      <c r="J10" s="9">
        <v>1583</v>
      </c>
      <c r="K10" s="9">
        <v>12258</v>
      </c>
      <c r="L10" s="30">
        <v>6642</v>
      </c>
      <c r="M10" s="44">
        <f>I10+J10+K10+L10</f>
        <v>51317</v>
      </c>
      <c r="N10" s="29">
        <f>M10-H10</f>
        <v>1261</v>
      </c>
      <c r="O10" s="31">
        <f>N10/H10</f>
        <v>0.025191785200575356</v>
      </c>
    </row>
    <row r="11" spans="1:15" ht="12.75">
      <c r="A11" s="39"/>
      <c r="B11" s="40"/>
      <c r="C11" s="40" t="s">
        <v>2</v>
      </c>
      <c r="D11" s="61">
        <v>32490</v>
      </c>
      <c r="E11" s="9">
        <v>1426</v>
      </c>
      <c r="F11" s="9">
        <f>5865*2</f>
        <v>11730</v>
      </c>
      <c r="G11" s="30">
        <v>6642</v>
      </c>
      <c r="H11" s="44">
        <f>D11+E11+F11+G11</f>
        <v>52288</v>
      </c>
      <c r="I11" s="61">
        <f>16551*2</f>
        <v>33102</v>
      </c>
      <c r="J11" s="9">
        <v>1583</v>
      </c>
      <c r="K11" s="9">
        <v>12258</v>
      </c>
      <c r="L11" s="30">
        <v>6642</v>
      </c>
      <c r="M11" s="44">
        <f>I11+J11+K11+L11</f>
        <v>53585</v>
      </c>
      <c r="N11" s="29">
        <f>M11-H11</f>
        <v>1297</v>
      </c>
      <c r="O11" s="31">
        <f>N11/H11</f>
        <v>0.024804926560587515</v>
      </c>
    </row>
    <row r="12" spans="1:16" ht="12.75">
      <c r="A12" s="39"/>
      <c r="B12" s="40"/>
      <c r="C12" s="40" t="s">
        <v>1</v>
      </c>
      <c r="D12" s="62">
        <v>33462</v>
      </c>
      <c r="E12" s="33">
        <v>1426</v>
      </c>
      <c r="F12" s="9">
        <f>5865*2</f>
        <v>11730</v>
      </c>
      <c r="G12" s="34">
        <v>6642</v>
      </c>
      <c r="H12" s="45">
        <f>D12+E12+F12+G12</f>
        <v>53260</v>
      </c>
      <c r="I12" s="62">
        <f>16902*2</f>
        <v>33804</v>
      </c>
      <c r="J12" s="33">
        <v>1583</v>
      </c>
      <c r="K12" s="9">
        <v>12258</v>
      </c>
      <c r="L12" s="34">
        <v>6642</v>
      </c>
      <c r="M12" s="45">
        <f>I12+J12+K12+L12</f>
        <v>54287</v>
      </c>
      <c r="N12" s="32">
        <f>M12-H12</f>
        <v>1027</v>
      </c>
      <c r="O12" s="35">
        <f>N12/H12</f>
        <v>0.01928276380022531</v>
      </c>
      <c r="P12" s="15"/>
    </row>
    <row r="13" spans="1:15" ht="12.75">
      <c r="A13" s="46"/>
      <c r="B13" s="47" t="s">
        <v>3</v>
      </c>
      <c r="C13" s="47"/>
      <c r="D13" s="61"/>
      <c r="E13" s="9"/>
      <c r="F13" s="38"/>
      <c r="G13" s="30"/>
      <c r="H13" s="44"/>
      <c r="I13" s="61"/>
      <c r="J13" s="9"/>
      <c r="K13" s="38"/>
      <c r="L13" s="30"/>
      <c r="M13" s="44"/>
      <c r="N13" s="29"/>
      <c r="O13" s="31"/>
    </row>
    <row r="14" spans="1:15" ht="12.75">
      <c r="A14" s="39"/>
      <c r="B14" s="40"/>
      <c r="C14" s="40" t="s">
        <v>26</v>
      </c>
      <c r="D14" s="61">
        <v>26208</v>
      </c>
      <c r="E14" s="9">
        <v>1443</v>
      </c>
      <c r="F14" s="9">
        <v>8901</v>
      </c>
      <c r="G14" s="30">
        <v>6642</v>
      </c>
      <c r="H14" s="44">
        <f aca="true" t="shared" si="0" ref="H14:H19">D14+E14+F14+G14</f>
        <v>43194</v>
      </c>
      <c r="I14" s="61">
        <f>13356*2</f>
        <v>26712</v>
      </c>
      <c r="J14" s="9">
        <v>1592</v>
      </c>
      <c r="K14" s="9">
        <v>8910</v>
      </c>
      <c r="L14" s="30">
        <v>6642</v>
      </c>
      <c r="M14" s="44">
        <f aca="true" t="shared" si="1" ref="M14:M20">I14+J14+K14+L14</f>
        <v>43856</v>
      </c>
      <c r="N14" s="29">
        <f aca="true" t="shared" si="2" ref="N14:N19">M14-H14</f>
        <v>662</v>
      </c>
      <c r="O14" s="31">
        <f aca="true" t="shared" si="3" ref="O14:O19">N14/H14</f>
        <v>0.015326202713339815</v>
      </c>
    </row>
    <row r="15" spans="1:15" ht="12.75">
      <c r="A15" s="39"/>
      <c r="B15" s="40"/>
      <c r="C15" s="40" t="s">
        <v>25</v>
      </c>
      <c r="D15" s="61">
        <v>26514</v>
      </c>
      <c r="E15" s="9">
        <v>1443</v>
      </c>
      <c r="F15" s="9">
        <v>8901</v>
      </c>
      <c r="G15" s="30">
        <v>6642</v>
      </c>
      <c r="H15" s="44">
        <f t="shared" si="0"/>
        <v>43500</v>
      </c>
      <c r="I15" s="61">
        <f>13509*2</f>
        <v>27018</v>
      </c>
      <c r="J15" s="9">
        <v>1592</v>
      </c>
      <c r="K15" s="9">
        <v>8910</v>
      </c>
      <c r="L15" s="30">
        <v>6642</v>
      </c>
      <c r="M15" s="44">
        <f t="shared" si="1"/>
        <v>44162</v>
      </c>
      <c r="N15" s="29">
        <f t="shared" si="2"/>
        <v>662</v>
      </c>
      <c r="O15" s="31">
        <f t="shared" si="3"/>
        <v>0.015218390804597701</v>
      </c>
    </row>
    <row r="16" spans="1:15" ht="12.75">
      <c r="A16" s="39"/>
      <c r="B16" s="40"/>
      <c r="C16" s="40" t="s">
        <v>2</v>
      </c>
      <c r="D16" s="61">
        <v>28602</v>
      </c>
      <c r="E16" s="9">
        <v>1443</v>
      </c>
      <c r="F16" s="9">
        <v>8901</v>
      </c>
      <c r="G16" s="30">
        <v>6642</v>
      </c>
      <c r="H16" s="44">
        <f t="shared" si="0"/>
        <v>45588</v>
      </c>
      <c r="I16" s="61">
        <f>14571*2</f>
        <v>29142</v>
      </c>
      <c r="J16" s="9">
        <v>1592</v>
      </c>
      <c r="K16" s="9">
        <v>8910</v>
      </c>
      <c r="L16" s="30">
        <v>6642</v>
      </c>
      <c r="M16" s="44">
        <f t="shared" si="1"/>
        <v>46286</v>
      </c>
      <c r="N16" s="29">
        <f t="shared" si="2"/>
        <v>698</v>
      </c>
      <c r="O16" s="31">
        <f t="shared" si="3"/>
        <v>0.015311046766692989</v>
      </c>
    </row>
    <row r="17" spans="1:15" ht="12.75">
      <c r="A17" s="39"/>
      <c r="B17" s="40"/>
      <c r="C17" s="40" t="s">
        <v>5</v>
      </c>
      <c r="D17" s="61">
        <v>29448</v>
      </c>
      <c r="E17" s="9">
        <v>1443</v>
      </c>
      <c r="F17" s="9">
        <v>8901</v>
      </c>
      <c r="G17" s="30">
        <v>6642</v>
      </c>
      <c r="H17" s="44">
        <f t="shared" si="0"/>
        <v>46434</v>
      </c>
      <c r="I17" s="61">
        <f>15003*2</f>
        <v>30006</v>
      </c>
      <c r="J17" s="9">
        <v>1592</v>
      </c>
      <c r="K17" s="9">
        <v>8910</v>
      </c>
      <c r="L17" s="30">
        <v>6642</v>
      </c>
      <c r="M17" s="44">
        <f t="shared" si="1"/>
        <v>47150</v>
      </c>
      <c r="N17" s="29">
        <f t="shared" si="2"/>
        <v>716</v>
      </c>
      <c r="O17" s="31">
        <f t="shared" si="3"/>
        <v>0.015419735538613947</v>
      </c>
    </row>
    <row r="18" spans="1:15" ht="12.75">
      <c r="A18" s="39"/>
      <c r="B18" s="40"/>
      <c r="C18" s="40" t="s">
        <v>4</v>
      </c>
      <c r="D18" s="61">
        <v>29898</v>
      </c>
      <c r="E18" s="9">
        <v>1443</v>
      </c>
      <c r="F18" s="9">
        <v>8901</v>
      </c>
      <c r="G18" s="30">
        <v>6642</v>
      </c>
      <c r="H18" s="44">
        <f t="shared" si="0"/>
        <v>46884</v>
      </c>
      <c r="I18" s="61">
        <f>15237*2</f>
        <v>30474</v>
      </c>
      <c r="J18" s="9">
        <v>1592</v>
      </c>
      <c r="K18" s="9">
        <v>8910</v>
      </c>
      <c r="L18" s="30">
        <v>6642</v>
      </c>
      <c r="M18" s="44">
        <f t="shared" si="1"/>
        <v>47618</v>
      </c>
      <c r="N18" s="29">
        <f t="shared" si="2"/>
        <v>734</v>
      </c>
      <c r="O18" s="31">
        <f t="shared" si="3"/>
        <v>0.015655660779796944</v>
      </c>
    </row>
    <row r="19" spans="1:15" ht="12.75">
      <c r="A19" s="39"/>
      <c r="B19" s="40"/>
      <c r="C19" s="40" t="s">
        <v>40</v>
      </c>
      <c r="D19" s="61">
        <f>18252*2</f>
        <v>36504</v>
      </c>
      <c r="E19" s="9">
        <v>1443</v>
      </c>
      <c r="F19" s="9">
        <v>8901</v>
      </c>
      <c r="G19" s="30">
        <v>6642</v>
      </c>
      <c r="H19" s="44">
        <f t="shared" si="0"/>
        <v>53490</v>
      </c>
      <c r="I19" s="61">
        <f>18252*2</f>
        <v>36504</v>
      </c>
      <c r="J19" s="9">
        <v>1592</v>
      </c>
      <c r="K19" s="9">
        <v>8910</v>
      </c>
      <c r="L19" s="30">
        <v>6642</v>
      </c>
      <c r="M19" s="44">
        <f t="shared" si="1"/>
        <v>53648</v>
      </c>
      <c r="N19" s="29">
        <f t="shared" si="2"/>
        <v>158</v>
      </c>
      <c r="O19" s="31">
        <f t="shared" si="3"/>
        <v>0.002953823144512993</v>
      </c>
    </row>
    <row r="20" spans="1:15" ht="15" thickBot="1">
      <c r="A20" s="39"/>
      <c r="B20" s="40"/>
      <c r="C20" s="16" t="s">
        <v>70</v>
      </c>
      <c r="D20" s="61"/>
      <c r="E20" s="9"/>
      <c r="F20" s="9"/>
      <c r="G20" s="30"/>
      <c r="H20" s="44"/>
      <c r="I20" s="61">
        <f>18297*2</f>
        <v>36594</v>
      </c>
      <c r="J20" s="9">
        <v>1592</v>
      </c>
      <c r="K20" s="9">
        <v>8910</v>
      </c>
      <c r="L20" s="30">
        <v>6642</v>
      </c>
      <c r="M20" s="44">
        <f t="shared" si="1"/>
        <v>53738</v>
      </c>
      <c r="N20" s="57" t="s">
        <v>17</v>
      </c>
      <c r="O20" s="58" t="s">
        <v>17</v>
      </c>
    </row>
    <row r="21" spans="1:15" ht="13.5" thickBot="1">
      <c r="A21" s="165" t="s">
        <v>6</v>
      </c>
      <c r="B21" s="166"/>
      <c r="C21" s="166"/>
      <c r="D21" s="172"/>
      <c r="E21" s="168"/>
      <c r="F21" s="166"/>
      <c r="G21" s="168"/>
      <c r="H21" s="173"/>
      <c r="I21" s="172"/>
      <c r="J21" s="168"/>
      <c r="K21" s="166"/>
      <c r="L21" s="168"/>
      <c r="M21" s="173"/>
      <c r="N21" s="172"/>
      <c r="O21" s="170"/>
    </row>
    <row r="22" spans="1:15" ht="12.75">
      <c r="A22" s="39"/>
      <c r="B22" s="40" t="s">
        <v>0</v>
      </c>
      <c r="C22" s="40"/>
      <c r="D22" s="48"/>
      <c r="E22" s="49"/>
      <c r="F22" s="40"/>
      <c r="G22" s="49"/>
      <c r="H22" s="50"/>
      <c r="I22" s="48"/>
      <c r="J22" s="49"/>
      <c r="K22" s="40"/>
      <c r="L22" s="49"/>
      <c r="M22" s="50"/>
      <c r="N22" s="51"/>
      <c r="O22" s="52"/>
    </row>
    <row r="23" spans="1:15" ht="12.75">
      <c r="A23" s="39"/>
      <c r="B23" s="40"/>
      <c r="C23" s="40" t="s">
        <v>39</v>
      </c>
      <c r="D23" s="29">
        <f>8360*2</f>
        <v>16720</v>
      </c>
      <c r="E23" s="9">
        <v>1189</v>
      </c>
      <c r="F23" s="9">
        <f>4150*2</f>
        <v>8300</v>
      </c>
      <c r="G23" s="30">
        <v>6642</v>
      </c>
      <c r="H23" s="44">
        <f>D23+E23+F23+G23</f>
        <v>32851</v>
      </c>
      <c r="I23" s="29">
        <v>17388</v>
      </c>
      <c r="J23" s="9">
        <v>1189</v>
      </c>
      <c r="K23" s="9">
        <v>8800</v>
      </c>
      <c r="L23" s="30">
        <v>6642</v>
      </c>
      <c r="M23" s="44">
        <v>34019</v>
      </c>
      <c r="N23" s="29">
        <f>M23-H23</f>
        <v>1168</v>
      </c>
      <c r="O23" s="31">
        <f>N23/H23</f>
        <v>0.03555447322760342</v>
      </c>
    </row>
    <row r="24" spans="1:15" ht="12.75">
      <c r="A24" s="39"/>
      <c r="B24" s="40"/>
      <c r="C24" s="40" t="s">
        <v>28</v>
      </c>
      <c r="D24" s="29">
        <f>8480*2</f>
        <v>16960</v>
      </c>
      <c r="E24" s="9">
        <v>1189</v>
      </c>
      <c r="F24" s="9">
        <v>8300</v>
      </c>
      <c r="G24" s="30">
        <v>6642</v>
      </c>
      <c r="H24" s="44">
        <f>D24+E24+F24+G24</f>
        <v>33091</v>
      </c>
      <c r="I24" s="29">
        <v>17640</v>
      </c>
      <c r="J24" s="9">
        <v>1189</v>
      </c>
      <c r="K24" s="9">
        <v>8800</v>
      </c>
      <c r="L24" s="30">
        <v>6642</v>
      </c>
      <c r="M24" s="44">
        <v>34271</v>
      </c>
      <c r="N24" s="29">
        <f>M24-H24</f>
        <v>1180</v>
      </c>
      <c r="O24" s="31">
        <f>N24/H24</f>
        <v>0.0356592426943882</v>
      </c>
    </row>
    <row r="25" spans="1:15" ht="12.75">
      <c r="A25" s="39"/>
      <c r="B25" s="40"/>
      <c r="C25" s="40" t="s">
        <v>29</v>
      </c>
      <c r="D25" s="29">
        <f>8630*2</f>
        <v>17260</v>
      </c>
      <c r="E25" s="9">
        <v>1189</v>
      </c>
      <c r="F25" s="9">
        <v>8300</v>
      </c>
      <c r="G25" s="30">
        <v>6642</v>
      </c>
      <c r="H25" s="44">
        <f>D25+E25+F25+G25</f>
        <v>33391</v>
      </c>
      <c r="I25" s="29">
        <v>17960</v>
      </c>
      <c r="J25" s="9">
        <v>1189</v>
      </c>
      <c r="K25" s="9">
        <v>8800</v>
      </c>
      <c r="L25" s="30">
        <v>6642</v>
      </c>
      <c r="M25" s="44">
        <v>34591</v>
      </c>
      <c r="N25" s="29">
        <f>M25-H25</f>
        <v>1200</v>
      </c>
      <c r="O25" s="31">
        <f>N25/H25</f>
        <v>0.0359378275583241</v>
      </c>
    </row>
    <row r="26" spans="1:15" ht="12.75">
      <c r="A26" s="39"/>
      <c r="B26" s="40"/>
      <c r="C26" s="40" t="s">
        <v>22</v>
      </c>
      <c r="D26" s="32">
        <v>17260</v>
      </c>
      <c r="E26" s="33">
        <v>1189</v>
      </c>
      <c r="F26" s="9">
        <v>8300</v>
      </c>
      <c r="G26" s="34">
        <v>6642</v>
      </c>
      <c r="H26" s="45">
        <f>D26+E26+F26+G26</f>
        <v>33391</v>
      </c>
      <c r="I26" s="32">
        <v>17960</v>
      </c>
      <c r="J26" s="33">
        <v>1189</v>
      </c>
      <c r="K26" s="33">
        <v>8800</v>
      </c>
      <c r="L26" s="34">
        <v>6642</v>
      </c>
      <c r="M26" s="45">
        <v>34591</v>
      </c>
      <c r="N26" s="32">
        <f>M26-H26</f>
        <v>1200</v>
      </c>
      <c r="O26" s="35">
        <f>N26/H26</f>
        <v>0.0359378275583241</v>
      </c>
    </row>
    <row r="27" spans="1:15" ht="12.75">
      <c r="A27" s="46"/>
      <c r="B27" s="47" t="s">
        <v>3</v>
      </c>
      <c r="C27" s="47"/>
      <c r="D27" s="29"/>
      <c r="E27" s="9"/>
      <c r="F27" s="38"/>
      <c r="G27" s="30"/>
      <c r="H27" s="44"/>
      <c r="I27" s="29"/>
      <c r="J27" s="9"/>
      <c r="K27" s="38"/>
      <c r="L27" s="30"/>
      <c r="M27" s="44"/>
      <c r="N27" s="29"/>
      <c r="O27" s="31"/>
    </row>
    <row r="28" spans="1:15" ht="12.75">
      <c r="A28" s="39"/>
      <c r="B28" s="40"/>
      <c r="C28" s="40" t="s">
        <v>20</v>
      </c>
      <c r="D28" s="29">
        <f>9180*2</f>
        <v>18360</v>
      </c>
      <c r="E28" s="9">
        <v>1189</v>
      </c>
      <c r="F28" s="9">
        <v>8901</v>
      </c>
      <c r="G28" s="30">
        <v>6642</v>
      </c>
      <c r="H28" s="44">
        <f>D28+E28+F28+G28</f>
        <v>35092</v>
      </c>
      <c r="I28" s="29">
        <v>19100</v>
      </c>
      <c r="J28" s="9">
        <v>1189</v>
      </c>
      <c r="K28" s="9">
        <v>8910</v>
      </c>
      <c r="L28" s="30">
        <v>6642</v>
      </c>
      <c r="M28" s="44">
        <v>35841</v>
      </c>
      <c r="N28" s="29">
        <f>M28-H28</f>
        <v>749</v>
      </c>
      <c r="O28" s="31">
        <f>N28/H28</f>
        <v>0.02134389604468255</v>
      </c>
    </row>
    <row r="29" spans="1:15" ht="12.75">
      <c r="A29" s="39"/>
      <c r="B29" s="40"/>
      <c r="C29" s="40" t="s">
        <v>19</v>
      </c>
      <c r="D29" s="29">
        <f>9840*2</f>
        <v>19680</v>
      </c>
      <c r="E29" s="9">
        <v>1189</v>
      </c>
      <c r="F29" s="9">
        <v>8901</v>
      </c>
      <c r="G29" s="30">
        <v>6642</v>
      </c>
      <c r="H29" s="44">
        <f>D29+E29+F29+G29</f>
        <v>36412</v>
      </c>
      <c r="I29" s="29">
        <v>20460</v>
      </c>
      <c r="J29" s="9">
        <v>1189</v>
      </c>
      <c r="K29" s="9">
        <v>8910</v>
      </c>
      <c r="L29" s="30">
        <v>6642</v>
      </c>
      <c r="M29" s="44">
        <v>37201</v>
      </c>
      <c r="N29" s="29">
        <f>M29-H29</f>
        <v>789</v>
      </c>
      <c r="O29" s="31">
        <f>N29/H29</f>
        <v>0.02166868065472921</v>
      </c>
    </row>
    <row r="30" spans="1:15" ht="12.75">
      <c r="A30" s="39"/>
      <c r="B30" s="40"/>
      <c r="C30" s="40" t="s">
        <v>18</v>
      </c>
      <c r="D30" s="29">
        <v>19680</v>
      </c>
      <c r="E30" s="9">
        <v>1189</v>
      </c>
      <c r="F30" s="9">
        <v>8901</v>
      </c>
      <c r="G30" s="30">
        <v>6642</v>
      </c>
      <c r="H30" s="44">
        <f>D30+E30+F30+G30</f>
        <v>36412</v>
      </c>
      <c r="I30" s="29">
        <v>20460</v>
      </c>
      <c r="J30" s="9">
        <v>1189</v>
      </c>
      <c r="K30" s="9">
        <v>8910</v>
      </c>
      <c r="L30" s="30">
        <v>6642</v>
      </c>
      <c r="M30" s="44">
        <v>37201</v>
      </c>
      <c r="N30" s="29">
        <f>M30-H30</f>
        <v>789</v>
      </c>
      <c r="O30" s="31">
        <f>N30/H30</f>
        <v>0.02166868065472921</v>
      </c>
    </row>
    <row r="31" spans="1:15" ht="13.5" thickBot="1">
      <c r="A31" s="39"/>
      <c r="B31" s="40"/>
      <c r="C31" s="40" t="s">
        <v>21</v>
      </c>
      <c r="D31" s="29">
        <v>19680</v>
      </c>
      <c r="E31" s="9">
        <v>1189</v>
      </c>
      <c r="F31" s="9">
        <v>8901</v>
      </c>
      <c r="G31" s="30">
        <v>6642</v>
      </c>
      <c r="H31" s="44">
        <f>D31+E31+F31+G31</f>
        <v>36412</v>
      </c>
      <c r="I31" s="29">
        <v>20460</v>
      </c>
      <c r="J31" s="33">
        <v>1189</v>
      </c>
      <c r="K31" s="9">
        <v>8910</v>
      </c>
      <c r="L31" s="34">
        <v>6642</v>
      </c>
      <c r="M31" s="45">
        <v>37201</v>
      </c>
      <c r="N31" s="29">
        <f>M31-H31</f>
        <v>789</v>
      </c>
      <c r="O31" s="31">
        <f>N31/H31</f>
        <v>0.02166868065472921</v>
      </c>
    </row>
    <row r="32" spans="1:15" ht="13.5" thickBot="1">
      <c r="A32" s="165" t="s">
        <v>46</v>
      </c>
      <c r="B32" s="166"/>
      <c r="C32" s="166"/>
      <c r="D32" s="172"/>
      <c r="E32" s="168"/>
      <c r="F32" s="168"/>
      <c r="G32" s="168"/>
      <c r="H32" s="173"/>
      <c r="I32" s="172"/>
      <c r="J32" s="168"/>
      <c r="K32" s="168"/>
      <c r="L32" s="168"/>
      <c r="M32" s="173"/>
      <c r="N32" s="172"/>
      <c r="O32" s="170"/>
    </row>
    <row r="33" spans="1:15" ht="12.75">
      <c r="A33" s="41"/>
      <c r="B33" s="42" t="s">
        <v>0</v>
      </c>
      <c r="C33" s="42"/>
      <c r="D33" s="48"/>
      <c r="E33" s="49"/>
      <c r="F33" s="49"/>
      <c r="G33" s="49"/>
      <c r="H33" s="107"/>
      <c r="I33" s="48"/>
      <c r="J33" s="49"/>
      <c r="K33" s="49"/>
      <c r="L33" s="49"/>
      <c r="M33" s="107"/>
      <c r="N33" s="48"/>
      <c r="O33" s="43"/>
    </row>
    <row r="34" spans="1:16" ht="12.75">
      <c r="A34" s="39"/>
      <c r="B34" s="40"/>
      <c r="C34" s="40" t="s">
        <v>14</v>
      </c>
      <c r="D34" s="29">
        <v>22658</v>
      </c>
      <c r="E34" s="9">
        <v>959.86</v>
      </c>
      <c r="F34" s="80">
        <v>10210</v>
      </c>
      <c r="G34" s="30">
        <v>6642</v>
      </c>
      <c r="H34" s="79">
        <v>40469.86</v>
      </c>
      <c r="I34" s="29">
        <v>24940</v>
      </c>
      <c r="J34" s="9">
        <v>1015.66</v>
      </c>
      <c r="K34" s="80">
        <v>10590</v>
      </c>
      <c r="L34" s="30">
        <v>6642</v>
      </c>
      <c r="M34" s="79">
        <v>43187.66</v>
      </c>
      <c r="N34" s="29">
        <v>2717.800000000003</v>
      </c>
      <c r="O34" s="31">
        <v>0.06715615028072751</v>
      </c>
      <c r="P34" s="18"/>
    </row>
    <row r="35" spans="1:16" ht="12.75">
      <c r="A35" s="39"/>
      <c r="B35" s="40"/>
      <c r="C35" s="40" t="s">
        <v>33</v>
      </c>
      <c r="D35" s="32">
        <v>22658</v>
      </c>
      <c r="E35" s="33">
        <v>959.86</v>
      </c>
      <c r="F35" s="104">
        <v>10210</v>
      </c>
      <c r="G35" s="34">
        <v>6642</v>
      </c>
      <c r="H35" s="103">
        <v>40469.86</v>
      </c>
      <c r="I35" s="32">
        <v>24940</v>
      </c>
      <c r="J35" s="33">
        <v>1015.66</v>
      </c>
      <c r="K35" s="104">
        <v>10590</v>
      </c>
      <c r="L35" s="34">
        <v>6642</v>
      </c>
      <c r="M35" s="103">
        <v>43187.66</v>
      </c>
      <c r="N35" s="32">
        <v>2717.800000000003</v>
      </c>
      <c r="O35" s="35">
        <v>0.06715615028072751</v>
      </c>
      <c r="P35" s="18"/>
    </row>
    <row r="36" spans="1:16" ht="12.75">
      <c r="A36" s="46"/>
      <c r="B36" s="47" t="s">
        <v>3</v>
      </c>
      <c r="C36" s="47"/>
      <c r="D36" s="29"/>
      <c r="E36" s="9"/>
      <c r="F36" s="10"/>
      <c r="G36" s="30"/>
      <c r="H36" s="79"/>
      <c r="I36" s="29"/>
      <c r="J36" s="9"/>
      <c r="K36" s="10"/>
      <c r="L36" s="30"/>
      <c r="M36" s="79"/>
      <c r="N36" s="29"/>
      <c r="O36" s="31"/>
      <c r="P36" s="18"/>
    </row>
    <row r="37" spans="1:16" ht="12.75">
      <c r="A37" s="39"/>
      <c r="B37" s="40"/>
      <c r="C37" s="40" t="s">
        <v>8</v>
      </c>
      <c r="D37" s="29">
        <v>22038</v>
      </c>
      <c r="E37" s="9">
        <v>959.86</v>
      </c>
      <c r="F37" s="9">
        <v>8901</v>
      </c>
      <c r="G37" s="30">
        <v>6642</v>
      </c>
      <c r="H37" s="79">
        <v>38540.86</v>
      </c>
      <c r="I37" s="29">
        <v>24638</v>
      </c>
      <c r="J37" s="9">
        <v>1015.66</v>
      </c>
      <c r="K37" s="9">
        <v>8910</v>
      </c>
      <c r="L37" s="30">
        <v>6642</v>
      </c>
      <c r="M37" s="79">
        <v>41205.66</v>
      </c>
      <c r="N37" s="29">
        <v>2664.800000000003</v>
      </c>
      <c r="O37" s="31">
        <v>0.06914220388439705</v>
      </c>
      <c r="P37" s="18"/>
    </row>
    <row r="38" spans="1:16" ht="12.75">
      <c r="A38" s="39"/>
      <c r="B38" s="40"/>
      <c r="C38" s="16" t="s">
        <v>9</v>
      </c>
      <c r="D38" s="29">
        <v>23526</v>
      </c>
      <c r="E38" s="9">
        <v>959.86</v>
      </c>
      <c r="F38" s="9">
        <v>8901</v>
      </c>
      <c r="G38" s="30">
        <v>6642</v>
      </c>
      <c r="H38" s="79">
        <v>40028.86</v>
      </c>
      <c r="I38" s="29">
        <v>26288</v>
      </c>
      <c r="J38" s="9">
        <v>1015.66</v>
      </c>
      <c r="K38" s="9">
        <v>8910</v>
      </c>
      <c r="L38" s="30">
        <v>6642</v>
      </c>
      <c r="M38" s="79">
        <v>42855.66</v>
      </c>
      <c r="N38" s="29">
        <v>2826.800000000003</v>
      </c>
      <c r="O38" s="31">
        <v>0.07061904835661077</v>
      </c>
      <c r="P38" s="18"/>
    </row>
    <row r="39" spans="1:16" ht="14.25">
      <c r="A39" s="39"/>
      <c r="B39" s="40"/>
      <c r="C39" s="16" t="s">
        <v>61</v>
      </c>
      <c r="D39" s="29">
        <v>23526</v>
      </c>
      <c r="E39" s="9">
        <v>959.86</v>
      </c>
      <c r="F39" s="9">
        <v>8901</v>
      </c>
      <c r="G39" s="30">
        <v>6642</v>
      </c>
      <c r="H39" s="79">
        <v>40028.86</v>
      </c>
      <c r="I39" s="29">
        <v>26288</v>
      </c>
      <c r="J39" s="9">
        <v>1015.66</v>
      </c>
      <c r="K39" s="9">
        <v>8910</v>
      </c>
      <c r="L39" s="30">
        <v>6642</v>
      </c>
      <c r="M39" s="79">
        <v>42855.66</v>
      </c>
      <c r="N39" s="29">
        <v>2826.800000000003</v>
      </c>
      <c r="O39" s="31">
        <v>0.07061904835661077</v>
      </c>
      <c r="P39" s="18"/>
    </row>
    <row r="40" spans="1:16" ht="12.75">
      <c r="A40" s="39"/>
      <c r="B40" s="40"/>
      <c r="C40" s="40" t="s">
        <v>35</v>
      </c>
      <c r="D40" s="29">
        <v>23526</v>
      </c>
      <c r="E40" s="9">
        <v>959.86</v>
      </c>
      <c r="F40" s="9">
        <v>8901</v>
      </c>
      <c r="G40" s="30">
        <v>6642</v>
      </c>
      <c r="H40" s="79">
        <v>40028.86</v>
      </c>
      <c r="I40" s="29">
        <v>26288</v>
      </c>
      <c r="J40" s="9">
        <v>1015.66</v>
      </c>
      <c r="K40" s="9">
        <v>8910</v>
      </c>
      <c r="L40" s="30">
        <v>6642</v>
      </c>
      <c r="M40" s="79">
        <v>42855.66</v>
      </c>
      <c r="N40" s="29">
        <v>2826.800000000003</v>
      </c>
      <c r="O40" s="31">
        <v>0.07061904835661077</v>
      </c>
      <c r="P40" s="18"/>
    </row>
    <row r="41" spans="1:16" ht="12.75">
      <c r="A41" s="39"/>
      <c r="B41" s="40"/>
      <c r="C41" s="40" t="s">
        <v>10</v>
      </c>
      <c r="D41" s="29">
        <v>23526</v>
      </c>
      <c r="E41" s="9">
        <v>959.86</v>
      </c>
      <c r="F41" s="9">
        <v>8901</v>
      </c>
      <c r="G41" s="30">
        <v>6642</v>
      </c>
      <c r="H41" s="79">
        <v>40028.86</v>
      </c>
      <c r="I41" s="29">
        <v>26288</v>
      </c>
      <c r="J41" s="9">
        <v>1015.66</v>
      </c>
      <c r="K41" s="9">
        <v>8910</v>
      </c>
      <c r="L41" s="30">
        <v>6642</v>
      </c>
      <c r="M41" s="79">
        <v>42855.66</v>
      </c>
      <c r="N41" s="29">
        <v>2826.800000000003</v>
      </c>
      <c r="O41" s="31">
        <v>0.07061904835661077</v>
      </c>
      <c r="P41" s="18"/>
    </row>
    <row r="42" spans="1:16" ht="12.75">
      <c r="A42" s="39"/>
      <c r="B42" s="40"/>
      <c r="C42" s="40" t="s">
        <v>7</v>
      </c>
      <c r="D42" s="29">
        <v>23526</v>
      </c>
      <c r="E42" s="9">
        <v>959.86</v>
      </c>
      <c r="F42" s="9">
        <v>8901</v>
      </c>
      <c r="G42" s="30">
        <v>6642</v>
      </c>
      <c r="H42" s="79">
        <v>40028.86</v>
      </c>
      <c r="I42" s="29">
        <v>26288</v>
      </c>
      <c r="J42" s="9">
        <v>1015.66</v>
      </c>
      <c r="K42" s="9">
        <v>8910</v>
      </c>
      <c r="L42" s="30">
        <v>6642</v>
      </c>
      <c r="M42" s="79">
        <v>42855.66</v>
      </c>
      <c r="N42" s="29">
        <v>2826.800000000003</v>
      </c>
      <c r="O42" s="31">
        <v>0.07061904835661077</v>
      </c>
      <c r="P42" s="18"/>
    </row>
    <row r="43" spans="1:16" ht="13.5" thickBot="1">
      <c r="A43" s="109"/>
      <c r="B43" s="87"/>
      <c r="C43" s="87" t="s">
        <v>30</v>
      </c>
      <c r="D43" s="81">
        <v>23940</v>
      </c>
      <c r="E43" s="36">
        <v>959.86</v>
      </c>
      <c r="F43" s="36">
        <v>8901</v>
      </c>
      <c r="G43" s="37">
        <v>6642</v>
      </c>
      <c r="H43" s="105">
        <v>40442.86</v>
      </c>
      <c r="I43" s="81">
        <v>26750</v>
      </c>
      <c r="J43" s="36">
        <v>1015.66</v>
      </c>
      <c r="K43" s="36">
        <v>8910</v>
      </c>
      <c r="L43" s="37">
        <v>6642</v>
      </c>
      <c r="M43" s="105">
        <v>43317.66</v>
      </c>
      <c r="N43" s="81">
        <v>2874.800000000003</v>
      </c>
      <c r="O43" s="106">
        <v>0.07108300451550664</v>
      </c>
      <c r="P43" s="18"/>
    </row>
    <row r="44" spans="1:16" ht="15" thickBot="1">
      <c r="A44" s="165" t="s">
        <v>87</v>
      </c>
      <c r="B44" s="166"/>
      <c r="C44" s="166"/>
      <c r="D44" s="176"/>
      <c r="E44" s="177"/>
      <c r="F44" s="177"/>
      <c r="G44" s="168"/>
      <c r="H44" s="178"/>
      <c r="I44" s="176"/>
      <c r="J44" s="177"/>
      <c r="K44" s="177"/>
      <c r="L44" s="168"/>
      <c r="M44" s="178"/>
      <c r="N44" s="176"/>
      <c r="O44" s="179"/>
      <c r="P44" s="18"/>
    </row>
    <row r="45" spans="1:20" s="12" customFormat="1" ht="12.75">
      <c r="A45" s="88"/>
      <c r="B45" s="16" t="s">
        <v>0</v>
      </c>
      <c r="C45" s="16"/>
      <c r="D45" s="82"/>
      <c r="E45" s="84"/>
      <c r="F45" s="84"/>
      <c r="G45" s="83"/>
      <c r="H45" s="85"/>
      <c r="I45" s="82"/>
      <c r="J45" s="84"/>
      <c r="K45" s="84"/>
      <c r="L45" s="83"/>
      <c r="M45" s="85"/>
      <c r="N45" s="82"/>
      <c r="O45" s="86"/>
      <c r="P45" s="19"/>
      <c r="Q45" s="11"/>
      <c r="R45" s="11"/>
      <c r="S45" s="11"/>
      <c r="T45" s="11"/>
    </row>
    <row r="46" spans="1:20" s="12" customFormat="1" ht="12.75">
      <c r="A46" s="88"/>
      <c r="B46" s="16"/>
      <c r="C46" s="16" t="s">
        <v>13</v>
      </c>
      <c r="D46" s="29">
        <v>24570</v>
      </c>
      <c r="E46" s="9">
        <v>266.7</v>
      </c>
      <c r="F46" s="9">
        <v>8901</v>
      </c>
      <c r="G46" s="30">
        <v>6642</v>
      </c>
      <c r="H46" s="79">
        <v>40379.7</v>
      </c>
      <c r="I46" s="29">
        <v>24570</v>
      </c>
      <c r="J46" s="9">
        <v>266.7</v>
      </c>
      <c r="K46" s="9">
        <v>8910</v>
      </c>
      <c r="L46" s="30">
        <v>6642</v>
      </c>
      <c r="M46" s="44">
        <v>40388.7</v>
      </c>
      <c r="N46" s="29">
        <v>9</v>
      </c>
      <c r="O46" s="98">
        <v>0.0002228842710569915</v>
      </c>
      <c r="P46" s="19"/>
      <c r="Q46" s="11"/>
      <c r="R46" s="11"/>
      <c r="S46" s="11"/>
      <c r="T46" s="11"/>
    </row>
    <row r="47" spans="1:20" s="12" customFormat="1" ht="12.75">
      <c r="A47" s="88"/>
      <c r="B47" s="16"/>
      <c r="C47" s="95" t="s">
        <v>56</v>
      </c>
      <c r="D47" s="32">
        <v>14250</v>
      </c>
      <c r="E47" s="33">
        <v>266.7</v>
      </c>
      <c r="F47" s="33">
        <v>8901</v>
      </c>
      <c r="G47" s="34">
        <v>6642</v>
      </c>
      <c r="H47" s="103">
        <v>30059.7</v>
      </c>
      <c r="I47" s="32">
        <v>14250</v>
      </c>
      <c r="J47" s="33">
        <v>266.7</v>
      </c>
      <c r="K47" s="33">
        <v>8910</v>
      </c>
      <c r="L47" s="34">
        <v>6642</v>
      </c>
      <c r="M47" s="45">
        <v>30068.7</v>
      </c>
      <c r="N47" s="32">
        <v>9</v>
      </c>
      <c r="O47" s="99">
        <v>0.00029940418567051566</v>
      </c>
      <c r="P47" s="19"/>
      <c r="Q47" s="11"/>
      <c r="R47" s="11"/>
      <c r="S47" s="11"/>
      <c r="T47" s="11"/>
    </row>
    <row r="48" spans="1:20" s="12" customFormat="1" ht="12.75">
      <c r="A48" s="89"/>
      <c r="B48" s="90" t="s">
        <v>3</v>
      </c>
      <c r="C48" s="90"/>
      <c r="D48" s="29"/>
      <c r="E48" s="9"/>
      <c r="F48" s="9"/>
      <c r="G48" s="9"/>
      <c r="H48" s="79"/>
      <c r="I48" s="29"/>
      <c r="J48" s="9"/>
      <c r="K48" s="9"/>
      <c r="L48" s="9"/>
      <c r="M48" s="44"/>
      <c r="N48" s="29" t="s">
        <v>36</v>
      </c>
      <c r="O48" s="98" t="s">
        <v>36</v>
      </c>
      <c r="P48" s="19"/>
      <c r="Q48" s="11"/>
      <c r="R48" s="11"/>
      <c r="S48" s="11"/>
      <c r="T48" s="11"/>
    </row>
    <row r="49" spans="1:20" s="12" customFormat="1" ht="12.75">
      <c r="A49" s="88"/>
      <c r="B49" s="16"/>
      <c r="C49" s="40" t="s">
        <v>57</v>
      </c>
      <c r="D49" s="29">
        <v>23190</v>
      </c>
      <c r="E49" s="9">
        <v>266.7</v>
      </c>
      <c r="F49" s="9">
        <v>8901</v>
      </c>
      <c r="G49" s="30">
        <v>6642</v>
      </c>
      <c r="H49" s="79">
        <v>38999.7</v>
      </c>
      <c r="I49" s="29">
        <v>23190</v>
      </c>
      <c r="J49" s="9">
        <v>266.7</v>
      </c>
      <c r="K49" s="9">
        <v>8910</v>
      </c>
      <c r="L49" s="30">
        <v>6642</v>
      </c>
      <c r="M49" s="44">
        <v>39008.7</v>
      </c>
      <c r="N49" s="29">
        <v>9</v>
      </c>
      <c r="O49" s="98">
        <v>0.00023077100593081487</v>
      </c>
      <c r="P49" s="19"/>
      <c r="Q49" s="11"/>
      <c r="R49" s="11"/>
      <c r="S49" s="11"/>
      <c r="T49" s="11"/>
    </row>
    <row r="50" spans="1:20" s="12" customFormat="1" ht="12.75">
      <c r="A50" s="88"/>
      <c r="B50" s="16"/>
      <c r="C50" s="16" t="s">
        <v>31</v>
      </c>
      <c r="D50" s="29">
        <v>19110</v>
      </c>
      <c r="E50" s="9">
        <v>266.7</v>
      </c>
      <c r="F50" s="9">
        <v>8901</v>
      </c>
      <c r="G50" s="30">
        <v>6642</v>
      </c>
      <c r="H50" s="79">
        <v>34919.7</v>
      </c>
      <c r="I50" s="29">
        <v>20070</v>
      </c>
      <c r="J50" s="9">
        <v>266.7</v>
      </c>
      <c r="K50" s="9">
        <v>8910</v>
      </c>
      <c r="L50" s="30">
        <v>6642</v>
      </c>
      <c r="M50" s="44">
        <v>35888.7</v>
      </c>
      <c r="N50" s="29">
        <v>969</v>
      </c>
      <c r="O50" s="98">
        <v>0.02774937929020009</v>
      </c>
      <c r="P50" s="19"/>
      <c r="Q50" s="11"/>
      <c r="R50" s="11"/>
      <c r="S50" s="11"/>
      <c r="T50" s="11"/>
    </row>
    <row r="51" spans="1:20" s="12" customFormat="1" ht="12.75">
      <c r="A51" s="88"/>
      <c r="B51" s="16"/>
      <c r="C51" s="40" t="s">
        <v>48</v>
      </c>
      <c r="D51" s="29">
        <v>34560</v>
      </c>
      <c r="E51" s="9">
        <v>266.7</v>
      </c>
      <c r="F51" s="9">
        <v>8901</v>
      </c>
      <c r="G51" s="30">
        <v>6642</v>
      </c>
      <c r="H51" s="79">
        <v>50369.7</v>
      </c>
      <c r="I51" s="29">
        <v>36450</v>
      </c>
      <c r="J51" s="9">
        <v>266.7</v>
      </c>
      <c r="K51" s="9">
        <v>8910</v>
      </c>
      <c r="L51" s="30">
        <v>6642</v>
      </c>
      <c r="M51" s="44">
        <v>52268.7</v>
      </c>
      <c r="N51" s="29">
        <v>1899</v>
      </c>
      <c r="O51" s="98">
        <v>0.037701237053228434</v>
      </c>
      <c r="P51" s="19"/>
      <c r="Q51" s="11"/>
      <c r="R51" s="11"/>
      <c r="S51" s="11"/>
      <c r="T51" s="11"/>
    </row>
    <row r="52" spans="1:20" s="12" customFormat="1" ht="12.75">
      <c r="A52" s="88"/>
      <c r="B52" s="16"/>
      <c r="C52" s="40" t="s">
        <v>49</v>
      </c>
      <c r="D52" s="29">
        <v>30360</v>
      </c>
      <c r="E52" s="9">
        <v>266.7</v>
      </c>
      <c r="F52" s="9">
        <v>8901</v>
      </c>
      <c r="G52" s="30">
        <v>6642</v>
      </c>
      <c r="H52" s="79">
        <v>46169.7</v>
      </c>
      <c r="I52" s="29">
        <v>32040</v>
      </c>
      <c r="J52" s="9">
        <v>266.7</v>
      </c>
      <c r="K52" s="9">
        <v>8910</v>
      </c>
      <c r="L52" s="30">
        <v>6642</v>
      </c>
      <c r="M52" s="44">
        <v>47858.7</v>
      </c>
      <c r="N52" s="29">
        <v>1689</v>
      </c>
      <c r="O52" s="98">
        <v>0.03658243393394369</v>
      </c>
      <c r="P52" s="19"/>
      <c r="Q52" s="11"/>
      <c r="R52" s="11"/>
      <c r="S52" s="11"/>
      <c r="T52" s="11"/>
    </row>
    <row r="53" spans="1:20" s="12" customFormat="1" ht="12.75">
      <c r="A53" s="88"/>
      <c r="B53" s="16"/>
      <c r="C53" s="16" t="s">
        <v>62</v>
      </c>
      <c r="D53" s="29">
        <v>30360</v>
      </c>
      <c r="E53" s="9">
        <v>266.7</v>
      </c>
      <c r="F53" s="9">
        <v>8901</v>
      </c>
      <c r="G53" s="30">
        <v>6642</v>
      </c>
      <c r="H53" s="79">
        <v>46169.7</v>
      </c>
      <c r="I53" s="29">
        <v>32040</v>
      </c>
      <c r="J53" s="9">
        <v>266.7</v>
      </c>
      <c r="K53" s="9">
        <v>8910</v>
      </c>
      <c r="L53" s="30">
        <v>6642</v>
      </c>
      <c r="M53" s="44">
        <v>47858.7</v>
      </c>
      <c r="N53" s="29">
        <v>1689</v>
      </c>
      <c r="O53" s="98">
        <v>0.03658243393394369</v>
      </c>
      <c r="P53" s="19"/>
      <c r="Q53" s="11"/>
      <c r="R53" s="11"/>
      <c r="S53" s="11"/>
      <c r="T53" s="11"/>
    </row>
    <row r="54" spans="1:20" s="12" customFormat="1" ht="12.75">
      <c r="A54" s="88"/>
      <c r="B54" s="16"/>
      <c r="C54" s="16" t="s">
        <v>63</v>
      </c>
      <c r="D54" s="29">
        <v>34560</v>
      </c>
      <c r="E54" s="9">
        <v>266.7</v>
      </c>
      <c r="F54" s="9">
        <v>8901</v>
      </c>
      <c r="G54" s="30">
        <v>6642</v>
      </c>
      <c r="H54" s="79">
        <v>50369.7</v>
      </c>
      <c r="I54" s="29">
        <v>36450</v>
      </c>
      <c r="J54" s="9">
        <v>266.7</v>
      </c>
      <c r="K54" s="9">
        <v>8910</v>
      </c>
      <c r="L54" s="30">
        <v>6642</v>
      </c>
      <c r="M54" s="44">
        <v>52268.7</v>
      </c>
      <c r="N54" s="29">
        <v>1899</v>
      </c>
      <c r="O54" s="98">
        <v>0.037701237053228434</v>
      </c>
      <c r="P54" s="19"/>
      <c r="Q54" s="11"/>
      <c r="R54" s="11"/>
      <c r="S54" s="11"/>
      <c r="T54" s="11"/>
    </row>
    <row r="55" spans="1:20" s="12" customFormat="1" ht="12.75">
      <c r="A55" s="88"/>
      <c r="B55" s="16"/>
      <c r="C55" s="40" t="s">
        <v>27</v>
      </c>
      <c r="D55" s="29">
        <v>31080</v>
      </c>
      <c r="E55" s="9">
        <v>266.7</v>
      </c>
      <c r="F55" s="9">
        <v>8901</v>
      </c>
      <c r="G55" s="30">
        <v>6642</v>
      </c>
      <c r="H55" s="79">
        <v>46889.7</v>
      </c>
      <c r="I55" s="29">
        <v>32640</v>
      </c>
      <c r="J55" s="9">
        <v>266.7</v>
      </c>
      <c r="K55" s="9">
        <v>8910</v>
      </c>
      <c r="L55" s="30">
        <v>6642</v>
      </c>
      <c r="M55" s="44">
        <v>48458.7</v>
      </c>
      <c r="N55" s="29">
        <v>1569</v>
      </c>
      <c r="O55" s="98">
        <v>0.03346150647157052</v>
      </c>
      <c r="P55" s="19"/>
      <c r="Q55" s="11"/>
      <c r="R55" s="11"/>
      <c r="S55" s="11"/>
      <c r="T55" s="11"/>
    </row>
    <row r="56" spans="1:20" s="12" customFormat="1" ht="12.75">
      <c r="A56" s="88"/>
      <c r="B56" s="16"/>
      <c r="C56" s="40" t="s">
        <v>64</v>
      </c>
      <c r="D56" s="29">
        <v>30750</v>
      </c>
      <c r="E56" s="9">
        <v>266.7</v>
      </c>
      <c r="F56" s="9">
        <v>8901</v>
      </c>
      <c r="G56" s="30">
        <v>6642</v>
      </c>
      <c r="H56" s="79">
        <v>46559.7</v>
      </c>
      <c r="I56" s="29">
        <v>30750</v>
      </c>
      <c r="J56" s="9">
        <v>266.7</v>
      </c>
      <c r="K56" s="9">
        <v>8910</v>
      </c>
      <c r="L56" s="30">
        <v>6642</v>
      </c>
      <c r="M56" s="44">
        <v>46568.7</v>
      </c>
      <c r="N56" s="29">
        <v>9</v>
      </c>
      <c r="O56" s="98">
        <v>0.00019330021456323817</v>
      </c>
      <c r="P56" s="19"/>
      <c r="Q56" s="11"/>
      <c r="R56" s="11"/>
      <c r="S56" s="11"/>
      <c r="T56" s="11"/>
    </row>
    <row r="57" spans="1:20" s="12" customFormat="1" ht="14.25">
      <c r="A57" s="88"/>
      <c r="B57" s="16"/>
      <c r="C57" s="40" t="s">
        <v>60</v>
      </c>
      <c r="D57" s="29"/>
      <c r="E57" s="9"/>
      <c r="F57" s="9"/>
      <c r="G57" s="30"/>
      <c r="H57" s="79"/>
      <c r="I57" s="29">
        <v>20100</v>
      </c>
      <c r="J57" s="9">
        <v>266.7</v>
      </c>
      <c r="K57" s="9">
        <v>8910</v>
      </c>
      <c r="L57" s="30">
        <v>6642</v>
      </c>
      <c r="M57" s="44">
        <v>35918.7</v>
      </c>
      <c r="N57" s="93" t="s">
        <v>54</v>
      </c>
      <c r="O57" s="94" t="s">
        <v>54</v>
      </c>
      <c r="P57" s="19"/>
      <c r="Q57" s="11"/>
      <c r="R57" s="11"/>
      <c r="S57" s="11"/>
      <c r="T57" s="11"/>
    </row>
    <row r="58" spans="1:20" s="12" customFormat="1" ht="12.75">
      <c r="A58" s="88"/>
      <c r="B58" s="16"/>
      <c r="C58" s="16" t="s">
        <v>50</v>
      </c>
      <c r="D58" s="29">
        <v>29700</v>
      </c>
      <c r="E58" s="9">
        <v>266.7</v>
      </c>
      <c r="F58" s="9">
        <v>8901</v>
      </c>
      <c r="G58" s="30">
        <v>6642</v>
      </c>
      <c r="H58" s="79">
        <v>45509.7</v>
      </c>
      <c r="I58" s="29">
        <v>29700</v>
      </c>
      <c r="J58" s="9">
        <v>266.7</v>
      </c>
      <c r="K58" s="9">
        <v>8910</v>
      </c>
      <c r="L58" s="30">
        <v>6642</v>
      </c>
      <c r="M58" s="44">
        <v>45518.7</v>
      </c>
      <c r="N58" s="29">
        <v>9</v>
      </c>
      <c r="O58" s="98">
        <v>0.0001977600379699273</v>
      </c>
      <c r="P58" s="19"/>
      <c r="Q58" s="11"/>
      <c r="R58" s="11"/>
      <c r="S58" s="11"/>
      <c r="T58" s="11"/>
    </row>
    <row r="59" spans="1:20" s="12" customFormat="1" ht="12.75">
      <c r="A59" s="88"/>
      <c r="B59" s="16"/>
      <c r="C59" s="16" t="s">
        <v>51</v>
      </c>
      <c r="D59" s="29">
        <v>29700</v>
      </c>
      <c r="E59" s="9">
        <v>266.7</v>
      </c>
      <c r="F59" s="9">
        <v>8901</v>
      </c>
      <c r="G59" s="30">
        <v>6642</v>
      </c>
      <c r="H59" s="79">
        <v>45509.7</v>
      </c>
      <c r="I59" s="29">
        <v>29700</v>
      </c>
      <c r="J59" s="9">
        <v>266.7</v>
      </c>
      <c r="K59" s="9">
        <v>8910</v>
      </c>
      <c r="L59" s="30">
        <v>6642</v>
      </c>
      <c r="M59" s="44">
        <v>45518.7</v>
      </c>
      <c r="N59" s="29">
        <v>9</v>
      </c>
      <c r="O59" s="98">
        <v>0.0001977600379699273</v>
      </c>
      <c r="P59" s="19"/>
      <c r="Q59" s="11"/>
      <c r="R59" s="11"/>
      <c r="S59" s="11"/>
      <c r="T59" s="11"/>
    </row>
    <row r="60" spans="1:20" s="12" customFormat="1" ht="14.25">
      <c r="A60" s="88"/>
      <c r="B60" s="16"/>
      <c r="C60" s="16" t="s">
        <v>58</v>
      </c>
      <c r="D60" s="32">
        <v>11034</v>
      </c>
      <c r="E60" s="33">
        <v>266.7</v>
      </c>
      <c r="F60" s="33">
        <v>8901</v>
      </c>
      <c r="G60" s="34">
        <v>6642</v>
      </c>
      <c r="H60" s="103">
        <v>26843.7</v>
      </c>
      <c r="I60" s="32">
        <v>11358</v>
      </c>
      <c r="J60" s="96">
        <v>266.7</v>
      </c>
      <c r="K60" s="96">
        <v>8910</v>
      </c>
      <c r="L60" s="97">
        <v>6642</v>
      </c>
      <c r="M60" s="45">
        <v>27176.7</v>
      </c>
      <c r="N60" s="32">
        <v>333</v>
      </c>
      <c r="O60" s="99">
        <v>0.012405145341365012</v>
      </c>
      <c r="P60" s="19"/>
      <c r="Q60" s="11"/>
      <c r="R60" s="11"/>
      <c r="S60" s="11"/>
      <c r="T60" s="11"/>
    </row>
    <row r="61" spans="1:20" s="12" customFormat="1" ht="12.75">
      <c r="A61" s="89"/>
      <c r="B61" s="90" t="s">
        <v>11</v>
      </c>
      <c r="C61" s="90"/>
      <c r="D61" s="29"/>
      <c r="E61" s="9"/>
      <c r="F61" s="9"/>
      <c r="G61" s="9"/>
      <c r="H61" s="79"/>
      <c r="I61" s="29"/>
      <c r="J61" s="9"/>
      <c r="K61" s="9"/>
      <c r="L61" s="9"/>
      <c r="M61" s="44"/>
      <c r="N61" s="29" t="s">
        <v>36</v>
      </c>
      <c r="O61" s="98" t="s">
        <v>36</v>
      </c>
      <c r="P61" s="19"/>
      <c r="Q61" s="11"/>
      <c r="R61" s="11"/>
      <c r="S61" s="11"/>
      <c r="T61" s="11"/>
    </row>
    <row r="62" spans="1:20" s="12" customFormat="1" ht="12.75">
      <c r="A62" s="88"/>
      <c r="B62" s="16"/>
      <c r="C62" s="16" t="s">
        <v>52</v>
      </c>
      <c r="D62" s="29">
        <v>32683</v>
      </c>
      <c r="E62" s="9">
        <v>26221.7</v>
      </c>
      <c r="F62" s="9">
        <v>8901</v>
      </c>
      <c r="G62" s="30">
        <v>6642</v>
      </c>
      <c r="H62" s="79">
        <v>74447.7</v>
      </c>
      <c r="I62" s="29">
        <v>33663</v>
      </c>
      <c r="J62" s="9">
        <v>26221.7</v>
      </c>
      <c r="K62" s="9">
        <v>8910</v>
      </c>
      <c r="L62" s="30">
        <v>6642</v>
      </c>
      <c r="M62" s="44">
        <v>75436.7</v>
      </c>
      <c r="N62" s="29">
        <v>989</v>
      </c>
      <c r="O62" s="98">
        <v>0.013284493678112286</v>
      </c>
      <c r="P62" s="19"/>
      <c r="Q62" s="11"/>
      <c r="R62" s="11"/>
      <c r="S62" s="11"/>
      <c r="T62" s="11"/>
    </row>
    <row r="63" spans="1:20" s="12" customFormat="1" ht="12.75">
      <c r="A63" s="88"/>
      <c r="B63" s="16"/>
      <c r="C63" s="16" t="s">
        <v>53</v>
      </c>
      <c r="D63" s="29">
        <v>28867.56</v>
      </c>
      <c r="E63" s="9">
        <v>25569.7</v>
      </c>
      <c r="F63" s="9">
        <v>8901</v>
      </c>
      <c r="G63" s="30">
        <v>6642</v>
      </c>
      <c r="H63" s="79">
        <v>69980.26000000001</v>
      </c>
      <c r="I63" s="29">
        <v>30889</v>
      </c>
      <c r="J63" s="9">
        <v>25569.7</v>
      </c>
      <c r="K63" s="9">
        <v>8910</v>
      </c>
      <c r="L63" s="30">
        <v>6642</v>
      </c>
      <c r="M63" s="44">
        <v>72010.7</v>
      </c>
      <c r="N63" s="29">
        <v>2030.4399999999878</v>
      </c>
      <c r="O63" s="98">
        <v>0.0290144677942035</v>
      </c>
      <c r="P63" s="19"/>
      <c r="Q63" s="11"/>
      <c r="R63" s="11"/>
      <c r="S63" s="11"/>
      <c r="T63" s="11"/>
    </row>
    <row r="64" spans="1:20" s="12" customFormat="1" ht="12.75">
      <c r="A64" s="88"/>
      <c r="B64" s="16"/>
      <c r="C64" s="100" t="s">
        <v>44</v>
      </c>
      <c r="D64" s="29">
        <v>27540</v>
      </c>
      <c r="E64" s="80">
        <v>266.7</v>
      </c>
      <c r="F64" s="9">
        <v>8901</v>
      </c>
      <c r="G64" s="30">
        <v>6642</v>
      </c>
      <c r="H64" s="79">
        <v>43349.7</v>
      </c>
      <c r="I64" s="29">
        <v>28920</v>
      </c>
      <c r="J64" s="80">
        <v>266.7</v>
      </c>
      <c r="K64" s="9">
        <v>8910</v>
      </c>
      <c r="L64" s="30">
        <v>6642</v>
      </c>
      <c r="M64" s="44">
        <v>44738.7</v>
      </c>
      <c r="N64" s="29">
        <v>1389</v>
      </c>
      <c r="O64" s="98">
        <v>0.03204174423352411</v>
      </c>
      <c r="P64" s="19"/>
      <c r="Q64" s="11"/>
      <c r="R64" s="11"/>
      <c r="S64" s="11"/>
      <c r="T64" s="11"/>
    </row>
    <row r="65" spans="1:20" s="12" customFormat="1" ht="12.75">
      <c r="A65" s="88"/>
      <c r="B65" s="16"/>
      <c r="C65" s="100" t="s">
        <v>37</v>
      </c>
      <c r="D65" s="29">
        <v>29700</v>
      </c>
      <c r="E65" s="80">
        <v>266.7</v>
      </c>
      <c r="F65" s="9">
        <v>8901</v>
      </c>
      <c r="G65" s="30">
        <v>6642</v>
      </c>
      <c r="H65" s="79">
        <v>45509.7</v>
      </c>
      <c r="I65" s="29">
        <v>29700</v>
      </c>
      <c r="J65" s="80">
        <v>266.7</v>
      </c>
      <c r="K65" s="9">
        <v>8910</v>
      </c>
      <c r="L65" s="30">
        <v>6642</v>
      </c>
      <c r="M65" s="44">
        <v>45518.7</v>
      </c>
      <c r="N65" s="29">
        <v>9</v>
      </c>
      <c r="O65" s="98">
        <v>0.0001977600379699273</v>
      </c>
      <c r="P65" s="19"/>
      <c r="Q65" s="11"/>
      <c r="R65" s="11"/>
      <c r="S65" s="11"/>
      <c r="T65" s="11"/>
    </row>
    <row r="66" spans="1:20" s="12" customFormat="1" ht="13.5" thickBot="1">
      <c r="A66" s="91"/>
      <c r="B66" s="92"/>
      <c r="C66" s="101" t="s">
        <v>45</v>
      </c>
      <c r="D66" s="81">
        <v>37758</v>
      </c>
      <c r="E66" s="36">
        <v>266.7</v>
      </c>
      <c r="F66" s="36">
        <v>8901</v>
      </c>
      <c r="G66" s="37">
        <v>6642</v>
      </c>
      <c r="H66" s="105">
        <v>53567.7</v>
      </c>
      <c r="I66" s="81">
        <v>38891</v>
      </c>
      <c r="J66" s="36">
        <v>266.7</v>
      </c>
      <c r="K66" s="36">
        <v>8910</v>
      </c>
      <c r="L66" s="37">
        <v>6642</v>
      </c>
      <c r="M66" s="55">
        <v>54709.7</v>
      </c>
      <c r="N66" s="81">
        <v>1142</v>
      </c>
      <c r="O66" s="102">
        <v>0.021318817123005096</v>
      </c>
      <c r="P66" s="19"/>
      <c r="Q66" s="11"/>
      <c r="R66" s="11"/>
      <c r="S66" s="11"/>
      <c r="T66" s="11"/>
    </row>
    <row r="67" spans="1:22" s="7" customFormat="1" ht="18.75" customHeight="1">
      <c r="A67" s="4"/>
      <c r="B67" s="4" t="s">
        <v>23</v>
      </c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/>
      <c r="R67" s="6"/>
      <c r="S67" s="6"/>
      <c r="T67" s="6"/>
      <c r="U67" s="6"/>
      <c r="V67" s="6"/>
    </row>
    <row r="68" spans="1:22" s="7" customFormat="1" ht="18.75" customHeight="1">
      <c r="A68" s="4"/>
      <c r="B68" s="108"/>
      <c r="C68" s="16" t="s">
        <v>79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/>
      <c r="R68" s="6"/>
      <c r="S68" s="6"/>
      <c r="T68" s="6"/>
      <c r="U68" s="6"/>
      <c r="V68" s="6"/>
    </row>
    <row r="69" spans="1:20" s="12" customFormat="1" ht="14.25" customHeight="1">
      <c r="A69" s="16"/>
      <c r="B69" s="16"/>
      <c r="C69" s="16" t="s">
        <v>69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0"/>
      <c r="P69" s="11"/>
      <c r="Q69" s="11"/>
      <c r="R69" s="11"/>
      <c r="S69" s="11"/>
      <c r="T69" s="11"/>
    </row>
    <row r="70" spans="3:20" s="12" customFormat="1" ht="25.5" customHeight="1">
      <c r="C70" s="187" t="s">
        <v>55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1"/>
      <c r="Q70" s="11"/>
      <c r="R70" s="11"/>
      <c r="S70" s="11"/>
      <c r="T70" s="11"/>
    </row>
    <row r="71" spans="3:20" s="12" customFormat="1" ht="12.75">
      <c r="C71" s="12" t="s">
        <v>24</v>
      </c>
      <c r="H71" s="21"/>
      <c r="M71" s="21"/>
      <c r="O71" s="21"/>
      <c r="P71" s="11"/>
      <c r="Q71" s="11"/>
      <c r="R71" s="11"/>
      <c r="S71" s="11"/>
      <c r="T71" s="11"/>
    </row>
    <row r="72" spans="1:20" s="12" customFormat="1" ht="12.75">
      <c r="A72" s="16"/>
      <c r="B72" s="16"/>
      <c r="C72" s="16" t="s">
        <v>34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0"/>
      <c r="P72" s="11"/>
      <c r="Q72" s="11"/>
      <c r="R72" s="11"/>
      <c r="S72" s="11"/>
      <c r="T72" s="11"/>
    </row>
    <row r="73" spans="1:20" s="12" customFormat="1" ht="12.75">
      <c r="A73" s="16"/>
      <c r="B73" s="16"/>
      <c r="C73" s="12" t="s">
        <v>81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20"/>
      <c r="P73" s="11"/>
      <c r="Q73" s="11"/>
      <c r="R73" s="11"/>
      <c r="S73" s="11"/>
      <c r="T73" s="11"/>
    </row>
    <row r="74" spans="3:20" s="12" customFormat="1" ht="12.75">
      <c r="C74" s="14" t="s">
        <v>82</v>
      </c>
      <c r="H74" s="21"/>
      <c r="M74" s="21"/>
      <c r="O74" s="21"/>
      <c r="P74" s="11"/>
      <c r="Q74" s="11"/>
      <c r="R74" s="11"/>
      <c r="S74" s="11"/>
      <c r="T74" s="11"/>
    </row>
    <row r="75" spans="3:20" s="12" customFormat="1" ht="12.75">
      <c r="C75" s="14" t="s">
        <v>72</v>
      </c>
      <c r="H75" s="21"/>
      <c r="M75" s="21"/>
      <c r="O75" s="21"/>
      <c r="P75" s="11"/>
      <c r="Q75" s="11"/>
      <c r="R75" s="11"/>
      <c r="S75" s="11"/>
      <c r="T75" s="11"/>
    </row>
  </sheetData>
  <sheetProtection/>
  <mergeCells count="1">
    <mergeCell ref="C70:O70"/>
  </mergeCells>
  <printOptions horizontalCentered="1"/>
  <pageMargins left="0.4" right="0.4" top="0.34" bottom="0.25" header="0.22" footer="0.01"/>
  <pageSetup fitToHeight="0" horizontalDpi="600" verticalDpi="600" orientation="landscape" scale="82" r:id="rId1"/>
  <rowBreaks count="1" manualBreakCount="1">
    <brk id="4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Normal="75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2.00390625" style="14" customWidth="1"/>
    <col min="2" max="2" width="2.28125" style="14" customWidth="1"/>
    <col min="3" max="3" width="34.57421875" style="14" customWidth="1"/>
    <col min="4" max="7" width="9.7109375" style="14" customWidth="1"/>
    <col min="8" max="8" width="9.7109375" style="22" customWidth="1"/>
    <col min="9" max="12" width="9.7109375" style="14" customWidth="1"/>
    <col min="13" max="13" width="9.7109375" style="22" customWidth="1"/>
    <col min="14" max="14" width="9.7109375" style="14" customWidth="1"/>
    <col min="15" max="15" width="9.7109375" style="22" customWidth="1"/>
    <col min="16" max="24" width="8.8515625" style="13" customWidth="1"/>
    <col min="25" max="16384" width="9.140625" style="14" customWidth="1"/>
  </cols>
  <sheetData>
    <row r="1" spans="1:15" ht="18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8">
      <c r="A2" s="152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24" s="1" customFormat="1" ht="28.5" customHeight="1" thickBot="1">
      <c r="A5" s="180"/>
      <c r="B5" s="154"/>
      <c r="C5" s="155"/>
      <c r="D5" s="175" t="s">
        <v>67</v>
      </c>
      <c r="E5" s="182"/>
      <c r="F5" s="182"/>
      <c r="G5" s="182"/>
      <c r="H5" s="183"/>
      <c r="I5" s="189" t="s">
        <v>68</v>
      </c>
      <c r="J5" s="184"/>
      <c r="K5" s="184"/>
      <c r="L5" s="184"/>
      <c r="M5" s="159"/>
      <c r="N5" s="158" t="s">
        <v>83</v>
      </c>
      <c r="O5" s="159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6.5" customHeight="1" thickBot="1">
      <c r="A6" s="181"/>
      <c r="B6" s="160"/>
      <c r="C6" s="160"/>
      <c r="D6" s="161" t="s">
        <v>88</v>
      </c>
      <c r="E6" s="190" t="s">
        <v>84</v>
      </c>
      <c r="F6" s="190" t="s">
        <v>85</v>
      </c>
      <c r="G6" s="190" t="s">
        <v>86</v>
      </c>
      <c r="H6" s="162" t="s">
        <v>15</v>
      </c>
      <c r="I6" s="161" t="s">
        <v>89</v>
      </c>
      <c r="J6" s="190" t="s">
        <v>84</v>
      </c>
      <c r="K6" s="190" t="s">
        <v>85</v>
      </c>
      <c r="L6" s="190" t="s">
        <v>86</v>
      </c>
      <c r="M6" s="162" t="s">
        <v>15</v>
      </c>
      <c r="N6" s="191" t="s">
        <v>94</v>
      </c>
      <c r="O6" s="162" t="s">
        <v>95</v>
      </c>
      <c r="P6" s="2"/>
      <c r="Q6" s="2"/>
      <c r="R6" s="2"/>
      <c r="S6" s="2"/>
      <c r="T6" s="2"/>
      <c r="U6" s="2"/>
      <c r="V6" s="2"/>
      <c r="W6" s="2"/>
      <c r="X6" s="2"/>
    </row>
    <row r="7" spans="1:15" ht="13.5" thickBot="1">
      <c r="A7" s="165" t="s">
        <v>12</v>
      </c>
      <c r="B7" s="166"/>
      <c r="C7" s="167"/>
      <c r="D7" s="166"/>
      <c r="E7" s="166"/>
      <c r="F7" s="166"/>
      <c r="G7" s="166"/>
      <c r="H7" s="170"/>
      <c r="I7" s="166"/>
      <c r="J7" s="166"/>
      <c r="K7" s="166"/>
      <c r="L7" s="166"/>
      <c r="M7" s="170"/>
      <c r="N7" s="166"/>
      <c r="O7" s="170"/>
    </row>
    <row r="8" spans="1:15" ht="12.75">
      <c r="A8" s="39"/>
      <c r="B8" s="40" t="s">
        <v>0</v>
      </c>
      <c r="C8" s="40"/>
      <c r="D8" s="41"/>
      <c r="E8" s="42"/>
      <c r="F8" s="42"/>
      <c r="G8" s="42"/>
      <c r="H8" s="43"/>
      <c r="I8" s="40"/>
      <c r="J8" s="40"/>
      <c r="K8" s="40"/>
      <c r="L8" s="40"/>
      <c r="M8" s="52"/>
      <c r="N8" s="41"/>
      <c r="O8" s="43"/>
    </row>
    <row r="9" spans="1:15" ht="12.75">
      <c r="A9" s="39"/>
      <c r="B9" s="40"/>
      <c r="C9" s="40" t="s">
        <v>26</v>
      </c>
      <c r="D9" s="61">
        <v>4296</v>
      </c>
      <c r="E9" s="9">
        <v>1197</v>
      </c>
      <c r="F9" s="9">
        <f>5865*2</f>
        <v>11730</v>
      </c>
      <c r="G9" s="30">
        <v>3321</v>
      </c>
      <c r="H9" s="44">
        <f>D9+E9+F9+G9</f>
        <v>20544</v>
      </c>
      <c r="I9" s="63">
        <f>2190*2</f>
        <v>4380</v>
      </c>
      <c r="J9" s="9">
        <v>1345.54</v>
      </c>
      <c r="K9" s="9">
        <v>12258</v>
      </c>
      <c r="L9" s="30">
        <v>3321</v>
      </c>
      <c r="M9" s="44">
        <f>I9+J9+K9+L9</f>
        <v>21304.54</v>
      </c>
      <c r="N9" s="29">
        <f>M9-H9</f>
        <v>760.5400000000009</v>
      </c>
      <c r="O9" s="31">
        <f>N9/H9</f>
        <v>0.037020054517134</v>
      </c>
    </row>
    <row r="10" spans="1:15" ht="12.75">
      <c r="A10" s="39"/>
      <c r="B10" s="40"/>
      <c r="C10" s="40" t="s">
        <v>25</v>
      </c>
      <c r="D10" s="61">
        <v>4452</v>
      </c>
      <c r="E10" s="9">
        <v>1197</v>
      </c>
      <c r="F10" s="9">
        <f>5865*2</f>
        <v>11730</v>
      </c>
      <c r="G10" s="30">
        <v>3321</v>
      </c>
      <c r="H10" s="44">
        <f>D10+E10+F10+G10</f>
        <v>20700</v>
      </c>
      <c r="I10" s="63">
        <f>2268*2</f>
        <v>4536</v>
      </c>
      <c r="J10" s="9">
        <v>1345.54</v>
      </c>
      <c r="K10" s="9">
        <v>12258</v>
      </c>
      <c r="L10" s="30">
        <v>3321</v>
      </c>
      <c r="M10" s="44">
        <f>I10+J10+K10+L10</f>
        <v>21460.54</v>
      </c>
      <c r="N10" s="29">
        <f>M10-H10</f>
        <v>760.5400000000009</v>
      </c>
      <c r="O10" s="31">
        <f>N10/H10</f>
        <v>0.03674106280193241</v>
      </c>
    </row>
    <row r="11" spans="1:15" ht="12.75">
      <c r="A11" s="39"/>
      <c r="B11" s="40"/>
      <c r="C11" s="40" t="s">
        <v>2</v>
      </c>
      <c r="D11" s="61">
        <v>5892</v>
      </c>
      <c r="E11" s="9">
        <v>1197</v>
      </c>
      <c r="F11" s="9">
        <f>5865*2</f>
        <v>11730</v>
      </c>
      <c r="G11" s="30">
        <v>3321</v>
      </c>
      <c r="H11" s="44">
        <f>D11+E11+F11+G11</f>
        <v>22140</v>
      </c>
      <c r="I11" s="63">
        <f>2940*2</f>
        <v>5880</v>
      </c>
      <c r="J11" s="9">
        <v>1345.54</v>
      </c>
      <c r="K11" s="9">
        <v>12258</v>
      </c>
      <c r="L11" s="30">
        <v>3321</v>
      </c>
      <c r="M11" s="44">
        <f>I11+J11+K11+L11</f>
        <v>22804.54</v>
      </c>
      <c r="N11" s="29">
        <f>M11-H11</f>
        <v>664.5400000000009</v>
      </c>
      <c r="O11" s="31">
        <f>N11/H11</f>
        <v>0.030015356820234908</v>
      </c>
    </row>
    <row r="12" spans="1:16" ht="12.75">
      <c r="A12" s="39"/>
      <c r="B12" s="40"/>
      <c r="C12" s="40" t="s">
        <v>1</v>
      </c>
      <c r="D12" s="61">
        <v>6744</v>
      </c>
      <c r="E12" s="33">
        <v>1197</v>
      </c>
      <c r="F12" s="9">
        <f>5865*2</f>
        <v>11730</v>
      </c>
      <c r="G12" s="30">
        <v>3321</v>
      </c>
      <c r="H12" s="45">
        <f>D12+E12+F12+G12</f>
        <v>22992</v>
      </c>
      <c r="I12" s="63">
        <f>3336*2</f>
        <v>6672</v>
      </c>
      <c r="J12" s="33">
        <v>1345.54</v>
      </c>
      <c r="K12" s="9">
        <v>12258</v>
      </c>
      <c r="L12" s="30">
        <v>3321</v>
      </c>
      <c r="M12" s="45">
        <f>I12+J12+K12+L12</f>
        <v>23596.54</v>
      </c>
      <c r="N12" s="32">
        <f>M12-H12</f>
        <v>604.5400000000009</v>
      </c>
      <c r="O12" s="35">
        <f>N12/H12</f>
        <v>0.02629349338900491</v>
      </c>
      <c r="P12" s="15"/>
    </row>
    <row r="13" spans="1:15" ht="12.75">
      <c r="A13" s="46"/>
      <c r="B13" s="47" t="s">
        <v>3</v>
      </c>
      <c r="C13" s="47"/>
      <c r="D13" s="65"/>
      <c r="E13" s="9"/>
      <c r="F13" s="38"/>
      <c r="G13" s="56"/>
      <c r="H13" s="44"/>
      <c r="I13" s="64"/>
      <c r="J13" s="9"/>
      <c r="K13" s="38"/>
      <c r="L13" s="56"/>
      <c r="M13" s="44"/>
      <c r="N13" s="29"/>
      <c r="O13" s="31"/>
    </row>
    <row r="14" spans="1:16" ht="12.75">
      <c r="A14" s="39"/>
      <c r="B14" s="40"/>
      <c r="C14" s="40" t="s">
        <v>26</v>
      </c>
      <c r="D14" s="61">
        <v>6492</v>
      </c>
      <c r="E14" s="9">
        <v>1206</v>
      </c>
      <c r="F14" s="9">
        <v>8901</v>
      </c>
      <c r="G14" s="30">
        <v>3321</v>
      </c>
      <c r="H14" s="44">
        <f aca="true" t="shared" si="0" ref="H14:H19">D14+E14+F14+G14</f>
        <v>19920</v>
      </c>
      <c r="I14" s="63">
        <f>3306*2</f>
        <v>6612</v>
      </c>
      <c r="J14" s="9">
        <f>J12+9</f>
        <v>1354.54</v>
      </c>
      <c r="K14" s="9">
        <v>8910</v>
      </c>
      <c r="L14" s="30">
        <v>3321</v>
      </c>
      <c r="M14" s="44">
        <f aca="true" t="shared" si="1" ref="M14:M20">I14+J14+K14+L14</f>
        <v>20197.54</v>
      </c>
      <c r="N14" s="29">
        <f aca="true" t="shared" si="2" ref="N14:N19">M14-H14</f>
        <v>277.5400000000009</v>
      </c>
      <c r="O14" s="31">
        <f aca="true" t="shared" si="3" ref="O14:O19">N14/H14</f>
        <v>0.013932730923694823</v>
      </c>
      <c r="P14" s="23"/>
    </row>
    <row r="15" spans="1:15" ht="12.75">
      <c r="A15" s="39"/>
      <c r="B15" s="40"/>
      <c r="C15" s="40" t="s">
        <v>25</v>
      </c>
      <c r="D15" s="61">
        <v>6492</v>
      </c>
      <c r="E15" s="9">
        <v>1206</v>
      </c>
      <c r="F15" s="9">
        <v>8901</v>
      </c>
      <c r="G15" s="30">
        <v>3321</v>
      </c>
      <c r="H15" s="44">
        <f t="shared" si="0"/>
        <v>19920</v>
      </c>
      <c r="I15" s="63">
        <f>3306*2</f>
        <v>6612</v>
      </c>
      <c r="J15" s="9">
        <v>1354.54</v>
      </c>
      <c r="K15" s="9">
        <v>8910</v>
      </c>
      <c r="L15" s="30">
        <v>3321</v>
      </c>
      <c r="M15" s="44">
        <f t="shared" si="1"/>
        <v>20197.54</v>
      </c>
      <c r="N15" s="29">
        <f t="shared" si="2"/>
        <v>277.5400000000009</v>
      </c>
      <c r="O15" s="31">
        <f t="shared" si="3"/>
        <v>0.013932730923694823</v>
      </c>
    </row>
    <row r="16" spans="1:15" ht="12.75">
      <c r="A16" s="39"/>
      <c r="B16" s="40"/>
      <c r="C16" s="40" t="s">
        <v>2</v>
      </c>
      <c r="D16" s="61">
        <v>8484</v>
      </c>
      <c r="E16" s="9">
        <v>1206</v>
      </c>
      <c r="F16" s="9">
        <v>8901</v>
      </c>
      <c r="G16" s="30">
        <v>3321</v>
      </c>
      <c r="H16" s="44">
        <f t="shared" si="0"/>
        <v>21912</v>
      </c>
      <c r="I16" s="63">
        <f>4320*2</f>
        <v>8640</v>
      </c>
      <c r="J16" s="9">
        <v>1354.54</v>
      </c>
      <c r="K16" s="9">
        <v>8910</v>
      </c>
      <c r="L16" s="30">
        <v>3321</v>
      </c>
      <c r="M16" s="44">
        <f t="shared" si="1"/>
        <v>22225.54</v>
      </c>
      <c r="N16" s="29">
        <f t="shared" si="2"/>
        <v>313.5400000000009</v>
      </c>
      <c r="O16" s="31">
        <f t="shared" si="3"/>
        <v>0.014309054399415886</v>
      </c>
    </row>
    <row r="17" spans="1:15" ht="12.75">
      <c r="A17" s="39"/>
      <c r="B17" s="40"/>
      <c r="C17" s="40" t="s">
        <v>5</v>
      </c>
      <c r="D17" s="61">
        <v>9300</v>
      </c>
      <c r="E17" s="9">
        <v>1206</v>
      </c>
      <c r="F17" s="9">
        <v>8901</v>
      </c>
      <c r="G17" s="30">
        <v>3321</v>
      </c>
      <c r="H17" s="44">
        <f t="shared" si="0"/>
        <v>22728</v>
      </c>
      <c r="I17" s="63">
        <f>4734*2</f>
        <v>9468</v>
      </c>
      <c r="J17" s="9">
        <v>1354.54</v>
      </c>
      <c r="K17" s="9">
        <v>8910</v>
      </c>
      <c r="L17" s="30">
        <v>3321</v>
      </c>
      <c r="M17" s="44">
        <f t="shared" si="1"/>
        <v>23053.54</v>
      </c>
      <c r="N17" s="29">
        <f t="shared" si="2"/>
        <v>325.5400000000009</v>
      </c>
      <c r="O17" s="31">
        <f t="shared" si="3"/>
        <v>0.0143233016543471</v>
      </c>
    </row>
    <row r="18" spans="1:15" ht="12.75">
      <c r="A18" s="39"/>
      <c r="B18" s="40"/>
      <c r="C18" s="40" t="s">
        <v>38</v>
      </c>
      <c r="D18" s="61">
        <v>10728</v>
      </c>
      <c r="E18" s="9">
        <v>1206</v>
      </c>
      <c r="F18" s="9">
        <v>8901</v>
      </c>
      <c r="G18" s="30">
        <v>3321</v>
      </c>
      <c r="H18" s="44">
        <f t="shared" si="0"/>
        <v>24156</v>
      </c>
      <c r="I18" s="63">
        <f>5460*2</f>
        <v>10920</v>
      </c>
      <c r="J18" s="9">
        <v>1354.54</v>
      </c>
      <c r="K18" s="9">
        <v>8910</v>
      </c>
      <c r="L18" s="30">
        <v>3321</v>
      </c>
      <c r="M18" s="44">
        <f t="shared" si="1"/>
        <v>24505.54</v>
      </c>
      <c r="N18" s="29">
        <f t="shared" si="2"/>
        <v>349.5400000000009</v>
      </c>
      <c r="O18" s="31">
        <f t="shared" si="3"/>
        <v>0.014470110945520817</v>
      </c>
    </row>
    <row r="19" spans="1:15" ht="12.75">
      <c r="A19" s="39"/>
      <c r="B19" s="40"/>
      <c r="C19" s="40" t="s">
        <v>41</v>
      </c>
      <c r="D19" s="61">
        <f>9906*2</f>
        <v>19812</v>
      </c>
      <c r="E19" s="9">
        <v>1206</v>
      </c>
      <c r="F19" s="9">
        <v>8901</v>
      </c>
      <c r="G19" s="30">
        <v>3321</v>
      </c>
      <c r="H19" s="44">
        <f t="shared" si="0"/>
        <v>33240</v>
      </c>
      <c r="I19" s="63">
        <f>9906*2</f>
        <v>19812</v>
      </c>
      <c r="J19" s="9">
        <v>1354.54</v>
      </c>
      <c r="K19" s="9">
        <v>8910</v>
      </c>
      <c r="L19" s="30">
        <v>3321</v>
      </c>
      <c r="M19" s="44">
        <f t="shared" si="1"/>
        <v>33397.54</v>
      </c>
      <c r="N19" s="29">
        <f t="shared" si="2"/>
        <v>157.54000000000087</v>
      </c>
      <c r="O19" s="31">
        <f t="shared" si="3"/>
        <v>0.004739470517448883</v>
      </c>
    </row>
    <row r="20" spans="1:15" ht="15" thickBot="1">
      <c r="A20" s="39"/>
      <c r="B20" s="40"/>
      <c r="C20" s="16" t="s">
        <v>71</v>
      </c>
      <c r="D20" s="61"/>
      <c r="E20" s="9"/>
      <c r="F20" s="9"/>
      <c r="G20" s="30"/>
      <c r="H20" s="44"/>
      <c r="I20" s="61">
        <f>10134*2</f>
        <v>20268</v>
      </c>
      <c r="J20" s="9">
        <v>1354.54</v>
      </c>
      <c r="K20" s="9">
        <v>8910</v>
      </c>
      <c r="L20" s="30">
        <v>3321</v>
      </c>
      <c r="M20" s="44">
        <f t="shared" si="1"/>
        <v>33853.54</v>
      </c>
      <c r="N20" s="57" t="s">
        <v>17</v>
      </c>
      <c r="O20" s="58" t="s">
        <v>17</v>
      </c>
    </row>
    <row r="21" spans="1:15" ht="13.5" thickBot="1">
      <c r="A21" s="165" t="s">
        <v>6</v>
      </c>
      <c r="B21" s="166"/>
      <c r="C21" s="166"/>
      <c r="D21" s="172"/>
      <c r="E21" s="168"/>
      <c r="F21" s="166"/>
      <c r="G21" s="166"/>
      <c r="H21" s="173"/>
      <c r="I21" s="168"/>
      <c r="J21" s="168"/>
      <c r="K21" s="166"/>
      <c r="L21" s="166"/>
      <c r="M21" s="173"/>
      <c r="N21" s="168"/>
      <c r="O21" s="170"/>
    </row>
    <row r="22" spans="1:15" ht="12.75">
      <c r="A22" s="39"/>
      <c r="B22" s="40" t="s">
        <v>0</v>
      </c>
      <c r="C22" s="40"/>
      <c r="D22" s="51"/>
      <c r="E22" s="30"/>
      <c r="F22" s="40"/>
      <c r="G22" s="40"/>
      <c r="H22" s="50"/>
      <c r="I22" s="30"/>
      <c r="J22" s="30"/>
      <c r="K22" s="40"/>
      <c r="L22" s="40"/>
      <c r="M22" s="50"/>
      <c r="N22" s="30"/>
      <c r="O22" s="52"/>
    </row>
    <row r="23" spans="1:15" ht="12.75">
      <c r="A23" s="39"/>
      <c r="B23" s="40"/>
      <c r="C23" s="40" t="s">
        <v>39</v>
      </c>
      <c r="D23" s="29">
        <f>1440*2</f>
        <v>2880</v>
      </c>
      <c r="E23" s="9">
        <v>765</v>
      </c>
      <c r="F23" s="9">
        <f>4150*2</f>
        <v>8300</v>
      </c>
      <c r="G23" s="30">
        <v>3321</v>
      </c>
      <c r="H23" s="44">
        <f>D23+E23+F23+G23</f>
        <v>15266</v>
      </c>
      <c r="I23" s="9">
        <v>2988</v>
      </c>
      <c r="J23" s="9">
        <v>765</v>
      </c>
      <c r="K23" s="9">
        <v>8800</v>
      </c>
      <c r="L23" s="30">
        <v>3321</v>
      </c>
      <c r="M23" s="44">
        <v>15874</v>
      </c>
      <c r="N23" s="9">
        <f>M23-H23</f>
        <v>608</v>
      </c>
      <c r="O23" s="31">
        <f>N23/H23</f>
        <v>0.03982706668413468</v>
      </c>
    </row>
    <row r="24" spans="1:15" ht="12.75">
      <c r="A24" s="39"/>
      <c r="B24" s="40"/>
      <c r="C24" s="40" t="s">
        <v>28</v>
      </c>
      <c r="D24" s="29">
        <f>1548*2</f>
        <v>3096</v>
      </c>
      <c r="E24" s="9">
        <v>765</v>
      </c>
      <c r="F24" s="9">
        <v>8300</v>
      </c>
      <c r="G24" s="30">
        <v>3321</v>
      </c>
      <c r="H24" s="44">
        <f>D24+E24+F24+G24</f>
        <v>15482</v>
      </c>
      <c r="I24" s="9">
        <v>3216</v>
      </c>
      <c r="J24" s="9">
        <v>765</v>
      </c>
      <c r="K24" s="9">
        <v>8800</v>
      </c>
      <c r="L24" s="30">
        <v>3321</v>
      </c>
      <c r="M24" s="44">
        <v>16102</v>
      </c>
      <c r="N24" s="9">
        <f>M24-H24</f>
        <v>620</v>
      </c>
      <c r="O24" s="31">
        <f>N24/H24</f>
        <v>0.04004650561942901</v>
      </c>
    </row>
    <row r="25" spans="1:15" ht="12.75">
      <c r="A25" s="39"/>
      <c r="B25" s="40"/>
      <c r="C25" s="40" t="s">
        <v>29</v>
      </c>
      <c r="D25" s="29">
        <f>1764*2</f>
        <v>3528</v>
      </c>
      <c r="E25" s="9">
        <v>765</v>
      </c>
      <c r="F25" s="9">
        <v>8300</v>
      </c>
      <c r="G25" s="30">
        <v>3321</v>
      </c>
      <c r="H25" s="44">
        <f>D25+E25+F25+G25</f>
        <v>15914</v>
      </c>
      <c r="I25" s="9">
        <v>3672</v>
      </c>
      <c r="J25" s="9">
        <v>765</v>
      </c>
      <c r="K25" s="9">
        <v>8800</v>
      </c>
      <c r="L25" s="30">
        <v>3321</v>
      </c>
      <c r="M25" s="44">
        <v>16558</v>
      </c>
      <c r="N25" s="9">
        <f>M25-H25</f>
        <v>644</v>
      </c>
      <c r="O25" s="31">
        <f>N25/H25</f>
        <v>0.04046751288173935</v>
      </c>
    </row>
    <row r="26" spans="1:15" ht="12.75">
      <c r="A26" s="39"/>
      <c r="B26" s="40"/>
      <c r="C26" s="40" t="s">
        <v>22</v>
      </c>
      <c r="D26" s="32">
        <f>2058*2</f>
        <v>4116</v>
      </c>
      <c r="E26" s="33">
        <v>765</v>
      </c>
      <c r="F26" s="9">
        <v>8300</v>
      </c>
      <c r="G26" s="30">
        <v>3321</v>
      </c>
      <c r="H26" s="45">
        <f>D26+E26+F26+G26</f>
        <v>16502</v>
      </c>
      <c r="I26" s="32">
        <v>4284</v>
      </c>
      <c r="J26" s="33">
        <v>765</v>
      </c>
      <c r="K26" s="9">
        <v>8800</v>
      </c>
      <c r="L26" s="30">
        <v>3321</v>
      </c>
      <c r="M26" s="45">
        <v>17170</v>
      </c>
      <c r="N26" s="33">
        <f>M26-H26</f>
        <v>668</v>
      </c>
      <c r="O26" s="35">
        <f>N26/H26</f>
        <v>0.040479941825233304</v>
      </c>
    </row>
    <row r="27" spans="1:15" ht="12.75">
      <c r="A27" s="46"/>
      <c r="B27" s="47" t="s">
        <v>3</v>
      </c>
      <c r="C27" s="47"/>
      <c r="D27" s="29"/>
      <c r="E27" s="9"/>
      <c r="F27" s="38"/>
      <c r="G27" s="56"/>
      <c r="H27" s="44"/>
      <c r="I27" s="9"/>
      <c r="J27" s="9"/>
      <c r="K27" s="38"/>
      <c r="L27" s="56"/>
      <c r="M27" s="44"/>
      <c r="N27" s="9"/>
      <c r="O27" s="31"/>
    </row>
    <row r="28" spans="1:15" ht="12.75">
      <c r="A28" s="39"/>
      <c r="B28" s="40"/>
      <c r="C28" s="40" t="s">
        <v>20</v>
      </c>
      <c r="D28" s="29">
        <f>2682*2</f>
        <v>5364</v>
      </c>
      <c r="E28" s="9">
        <v>765</v>
      </c>
      <c r="F28" s="9">
        <v>8901</v>
      </c>
      <c r="G28" s="30">
        <v>3321</v>
      </c>
      <c r="H28" s="44">
        <f>D28+E28+F28+G28</f>
        <v>18351</v>
      </c>
      <c r="I28" s="9">
        <v>5634</v>
      </c>
      <c r="J28" s="9">
        <v>765</v>
      </c>
      <c r="K28" s="9">
        <v>8910</v>
      </c>
      <c r="L28" s="30">
        <v>3321</v>
      </c>
      <c r="M28" s="44">
        <v>18630</v>
      </c>
      <c r="N28" s="9">
        <f>M28-H28</f>
        <v>279</v>
      </c>
      <c r="O28" s="31">
        <f>N28/H28</f>
        <v>0.015203531142717018</v>
      </c>
    </row>
    <row r="29" spans="1:15" ht="12.75">
      <c r="A29" s="39"/>
      <c r="B29" s="40"/>
      <c r="C29" s="40" t="s">
        <v>19</v>
      </c>
      <c r="D29" s="29">
        <f>2940*2</f>
        <v>5880</v>
      </c>
      <c r="E29" s="9">
        <v>765</v>
      </c>
      <c r="F29" s="9">
        <v>8901</v>
      </c>
      <c r="G29" s="30">
        <v>3321</v>
      </c>
      <c r="H29" s="44">
        <f>D29+E29+F29+G29</f>
        <v>18867</v>
      </c>
      <c r="I29" s="9">
        <v>6170</v>
      </c>
      <c r="J29" s="9">
        <v>765</v>
      </c>
      <c r="K29" s="9">
        <v>8910</v>
      </c>
      <c r="L29" s="30">
        <v>3321</v>
      </c>
      <c r="M29" s="44">
        <v>19166</v>
      </c>
      <c r="N29" s="9">
        <f>M29-H29</f>
        <v>299</v>
      </c>
      <c r="O29" s="31">
        <f>N29/H29</f>
        <v>0.01584777654105051</v>
      </c>
    </row>
    <row r="30" spans="1:15" ht="12.75">
      <c r="A30" s="39"/>
      <c r="B30" s="40"/>
      <c r="C30" s="40" t="s">
        <v>18</v>
      </c>
      <c r="D30" s="29">
        <f>3132*2</f>
        <v>6264</v>
      </c>
      <c r="E30" s="9">
        <v>765</v>
      </c>
      <c r="F30" s="9">
        <v>8901</v>
      </c>
      <c r="G30" s="30">
        <v>3321</v>
      </c>
      <c r="H30" s="44">
        <f>D30+E30+F30+G30</f>
        <v>19251</v>
      </c>
      <c r="I30" s="9">
        <v>6576</v>
      </c>
      <c r="J30" s="9">
        <v>765</v>
      </c>
      <c r="K30" s="9">
        <v>8910</v>
      </c>
      <c r="L30" s="30">
        <v>3321</v>
      </c>
      <c r="M30" s="44">
        <v>19572</v>
      </c>
      <c r="N30" s="9">
        <f>M30-H30</f>
        <v>321</v>
      </c>
      <c r="O30" s="31">
        <f>N30/H30</f>
        <v>0.016674458469689887</v>
      </c>
    </row>
    <row r="31" spans="1:15" ht="13.5" thickBot="1">
      <c r="A31" s="39"/>
      <c r="B31" s="40"/>
      <c r="C31" s="40" t="s">
        <v>21</v>
      </c>
      <c r="D31" s="29">
        <f>3294*2</f>
        <v>6588</v>
      </c>
      <c r="E31" s="9">
        <v>765</v>
      </c>
      <c r="F31" s="9">
        <v>8901</v>
      </c>
      <c r="G31" s="30">
        <v>3321</v>
      </c>
      <c r="H31" s="44">
        <f>D31+E31+F31+G31</f>
        <v>19575</v>
      </c>
      <c r="I31" s="9">
        <v>6920</v>
      </c>
      <c r="J31" s="9">
        <v>765</v>
      </c>
      <c r="K31" s="9">
        <v>8910</v>
      </c>
      <c r="L31" s="30">
        <v>3321</v>
      </c>
      <c r="M31" s="44">
        <v>19916</v>
      </c>
      <c r="N31" s="9">
        <f>M31-H31</f>
        <v>341</v>
      </c>
      <c r="O31" s="31">
        <f>N31/H31</f>
        <v>0.017420178799489143</v>
      </c>
    </row>
    <row r="32" spans="1:15" ht="13.5" thickBot="1">
      <c r="A32" s="165" t="s">
        <v>46</v>
      </c>
      <c r="B32" s="166"/>
      <c r="C32" s="166"/>
      <c r="D32" s="172"/>
      <c r="E32" s="168"/>
      <c r="F32" s="168"/>
      <c r="G32" s="166"/>
      <c r="H32" s="173"/>
      <c r="I32" s="168"/>
      <c r="J32" s="168"/>
      <c r="K32" s="168"/>
      <c r="L32" s="166"/>
      <c r="M32" s="173"/>
      <c r="N32" s="168"/>
      <c r="O32" s="170"/>
    </row>
    <row r="33" spans="1:18" ht="12.75">
      <c r="A33" s="41"/>
      <c r="B33" s="42" t="s">
        <v>0</v>
      </c>
      <c r="C33" s="42"/>
      <c r="D33" s="48"/>
      <c r="E33" s="49"/>
      <c r="F33" s="49"/>
      <c r="G33" s="42"/>
      <c r="H33" s="107"/>
      <c r="I33" s="48"/>
      <c r="J33" s="49"/>
      <c r="K33" s="49"/>
      <c r="L33" s="42"/>
      <c r="M33" s="107"/>
      <c r="N33" s="49"/>
      <c r="O33" s="43"/>
      <c r="Q33" s="17"/>
      <c r="R33" s="17"/>
    </row>
    <row r="34" spans="1:18" ht="12.75">
      <c r="A34" s="39"/>
      <c r="B34" s="40"/>
      <c r="C34" s="40" t="s">
        <v>14</v>
      </c>
      <c r="D34" s="29">
        <v>3192</v>
      </c>
      <c r="E34" s="9">
        <v>622.72</v>
      </c>
      <c r="F34" s="80">
        <v>10210</v>
      </c>
      <c r="G34" s="30">
        <v>3321</v>
      </c>
      <c r="H34" s="44">
        <v>17345.72</v>
      </c>
      <c r="I34" s="29">
        <v>3384</v>
      </c>
      <c r="J34" s="9">
        <v>662.86</v>
      </c>
      <c r="K34" s="80">
        <v>10590</v>
      </c>
      <c r="L34" s="30">
        <v>3321</v>
      </c>
      <c r="M34" s="44">
        <v>17957.86</v>
      </c>
      <c r="N34" s="9">
        <v>612.1399999999994</v>
      </c>
      <c r="O34" s="31">
        <v>0.03529055006076423</v>
      </c>
      <c r="P34" s="18"/>
      <c r="Q34" s="9"/>
      <c r="R34" s="10"/>
    </row>
    <row r="35" spans="1:18" ht="12.75">
      <c r="A35" s="39"/>
      <c r="B35" s="40"/>
      <c r="C35" s="40" t="s">
        <v>33</v>
      </c>
      <c r="D35" s="149">
        <v>3432</v>
      </c>
      <c r="E35" s="33">
        <v>622.72</v>
      </c>
      <c r="F35" s="104">
        <v>10210</v>
      </c>
      <c r="G35" s="30">
        <v>3321</v>
      </c>
      <c r="H35" s="45">
        <v>17585.72</v>
      </c>
      <c r="I35" s="149">
        <v>3639</v>
      </c>
      <c r="J35" s="33">
        <v>662.86</v>
      </c>
      <c r="K35" s="104">
        <v>10590</v>
      </c>
      <c r="L35" s="30">
        <v>3321</v>
      </c>
      <c r="M35" s="45">
        <v>18212.86</v>
      </c>
      <c r="N35" s="33">
        <v>627.1399999999994</v>
      </c>
      <c r="O35" s="35">
        <v>0.03566188930564113</v>
      </c>
      <c r="P35" s="18"/>
      <c r="Q35" s="28"/>
      <c r="R35" s="10"/>
    </row>
    <row r="36" spans="1:16" ht="12.75">
      <c r="A36" s="46"/>
      <c r="B36" s="47" t="s">
        <v>3</v>
      </c>
      <c r="C36" s="47"/>
      <c r="D36" s="147"/>
      <c r="E36" s="9"/>
      <c r="F36" s="10"/>
      <c r="G36" s="111"/>
      <c r="H36" s="44"/>
      <c r="I36" s="147"/>
      <c r="J36" s="9"/>
      <c r="K36" s="10"/>
      <c r="L36" s="111"/>
      <c r="M36" s="44"/>
      <c r="N36" s="9"/>
      <c r="O36" s="31"/>
      <c r="P36" s="18"/>
    </row>
    <row r="37" spans="1:16" ht="12.75">
      <c r="A37" s="39"/>
      <c r="B37" s="40"/>
      <c r="C37" s="40" t="s">
        <v>8</v>
      </c>
      <c r="D37" s="29">
        <v>4260</v>
      </c>
      <c r="E37" s="9">
        <v>622.72</v>
      </c>
      <c r="F37" s="9">
        <v>8901</v>
      </c>
      <c r="G37" s="30">
        <v>3321</v>
      </c>
      <c r="H37" s="44">
        <v>17104.72</v>
      </c>
      <c r="I37" s="29">
        <v>4302</v>
      </c>
      <c r="J37" s="9">
        <v>662.86</v>
      </c>
      <c r="K37" s="9">
        <v>8910</v>
      </c>
      <c r="L37" s="30">
        <v>3321</v>
      </c>
      <c r="M37" s="44">
        <v>17195.86</v>
      </c>
      <c r="N37" s="9">
        <v>91.13999999999942</v>
      </c>
      <c r="O37" s="31">
        <v>0.0053283538111117525</v>
      </c>
      <c r="P37" s="18"/>
    </row>
    <row r="38" spans="1:16" ht="12.75">
      <c r="A38" s="39"/>
      <c r="B38" s="40"/>
      <c r="C38" s="16" t="s">
        <v>9</v>
      </c>
      <c r="D38" s="29">
        <v>5136</v>
      </c>
      <c r="E38" s="9">
        <v>622.72</v>
      </c>
      <c r="F38" s="9">
        <v>8901</v>
      </c>
      <c r="G38" s="30">
        <v>3321</v>
      </c>
      <c r="H38" s="44">
        <v>17980.72</v>
      </c>
      <c r="I38" s="29">
        <v>5187</v>
      </c>
      <c r="J38" s="9">
        <v>662.86</v>
      </c>
      <c r="K38" s="9">
        <v>8910</v>
      </c>
      <c r="L38" s="30">
        <v>3321</v>
      </c>
      <c r="M38" s="44">
        <v>18080.86</v>
      </c>
      <c r="N38" s="9">
        <v>100.13999999999942</v>
      </c>
      <c r="O38" s="31">
        <v>0.0055692986710209275</v>
      </c>
      <c r="P38" s="18"/>
    </row>
    <row r="39" spans="1:16" ht="14.25">
      <c r="A39" s="39"/>
      <c r="B39" s="40"/>
      <c r="C39" s="16" t="s">
        <v>61</v>
      </c>
      <c r="D39" s="29">
        <v>5196</v>
      </c>
      <c r="E39" s="9">
        <v>622.72</v>
      </c>
      <c r="F39" s="9">
        <v>8901</v>
      </c>
      <c r="G39" s="30">
        <v>3321</v>
      </c>
      <c r="H39" s="44">
        <v>18040.72</v>
      </c>
      <c r="I39" s="29">
        <v>5250</v>
      </c>
      <c r="J39" s="9">
        <v>662.86</v>
      </c>
      <c r="K39" s="9">
        <v>8910</v>
      </c>
      <c r="L39" s="30">
        <v>3321</v>
      </c>
      <c r="M39" s="44">
        <v>18143.86</v>
      </c>
      <c r="N39" s="9">
        <v>103.13999999999942</v>
      </c>
      <c r="O39" s="31">
        <v>0.005717066724609628</v>
      </c>
      <c r="P39" s="18"/>
    </row>
    <row r="40" spans="1:16" ht="12.75">
      <c r="A40" s="39"/>
      <c r="B40" s="40"/>
      <c r="C40" s="40" t="s">
        <v>35</v>
      </c>
      <c r="D40" s="29">
        <v>5928</v>
      </c>
      <c r="E40" s="9">
        <v>622.72</v>
      </c>
      <c r="F40" s="9">
        <v>8901</v>
      </c>
      <c r="G40" s="30">
        <v>3321</v>
      </c>
      <c r="H40" s="44">
        <v>18772.72</v>
      </c>
      <c r="I40" s="29">
        <v>5988</v>
      </c>
      <c r="J40" s="9">
        <v>662.86</v>
      </c>
      <c r="K40" s="9">
        <v>8910</v>
      </c>
      <c r="L40" s="30">
        <v>3321</v>
      </c>
      <c r="M40" s="44">
        <v>18881.86</v>
      </c>
      <c r="N40" s="9">
        <v>109.13999999999942</v>
      </c>
      <c r="O40" s="31">
        <v>0.005813755278936639</v>
      </c>
      <c r="P40" s="18"/>
    </row>
    <row r="41" spans="1:16" ht="12.75">
      <c r="A41" s="39"/>
      <c r="B41" s="40"/>
      <c r="C41" s="40" t="s">
        <v>10</v>
      </c>
      <c r="D41" s="29">
        <v>5196</v>
      </c>
      <c r="E41" s="9">
        <v>622.72</v>
      </c>
      <c r="F41" s="9">
        <v>8901</v>
      </c>
      <c r="G41" s="30">
        <v>3321</v>
      </c>
      <c r="H41" s="44">
        <v>18040.72</v>
      </c>
      <c r="I41" s="29">
        <v>5250</v>
      </c>
      <c r="J41" s="9">
        <v>662.86</v>
      </c>
      <c r="K41" s="9">
        <v>8910</v>
      </c>
      <c r="L41" s="30">
        <v>3321</v>
      </c>
      <c r="M41" s="44">
        <v>18143.86</v>
      </c>
      <c r="N41" s="9">
        <v>103.13999999999942</v>
      </c>
      <c r="O41" s="31">
        <v>0.005717066724609628</v>
      </c>
      <c r="P41" s="18"/>
    </row>
    <row r="42" spans="1:16" ht="12.75">
      <c r="A42" s="39"/>
      <c r="B42" s="40"/>
      <c r="C42" s="40" t="s">
        <v>7</v>
      </c>
      <c r="D42" s="29">
        <v>4188</v>
      </c>
      <c r="E42" s="9">
        <v>622.72</v>
      </c>
      <c r="F42" s="9">
        <v>8901</v>
      </c>
      <c r="G42" s="30">
        <v>3321</v>
      </c>
      <c r="H42" s="44">
        <v>17032.72</v>
      </c>
      <c r="I42" s="29">
        <v>4230</v>
      </c>
      <c r="J42" s="9">
        <v>662.86</v>
      </c>
      <c r="K42" s="9">
        <v>8910</v>
      </c>
      <c r="L42" s="30">
        <v>3321</v>
      </c>
      <c r="M42" s="44">
        <v>17123.86</v>
      </c>
      <c r="N42" s="9">
        <v>91.13999999999942</v>
      </c>
      <c r="O42" s="31">
        <v>0.005350877604986134</v>
      </c>
      <c r="P42" s="18"/>
    </row>
    <row r="43" spans="1:16" ht="13.5" thickBot="1">
      <c r="A43" s="109"/>
      <c r="B43" s="87"/>
      <c r="C43" s="87" t="s">
        <v>30</v>
      </c>
      <c r="D43" s="81">
        <v>5952</v>
      </c>
      <c r="E43" s="36">
        <v>622.72</v>
      </c>
      <c r="F43" s="36">
        <v>8901</v>
      </c>
      <c r="G43" s="37">
        <v>3321</v>
      </c>
      <c r="H43" s="55">
        <v>18796.72</v>
      </c>
      <c r="I43" s="81">
        <v>6012</v>
      </c>
      <c r="J43" s="36">
        <v>662.86</v>
      </c>
      <c r="K43" s="36">
        <v>8910</v>
      </c>
      <c r="L43" s="37">
        <v>3321</v>
      </c>
      <c r="M43" s="55">
        <v>18905.86</v>
      </c>
      <c r="N43" s="36">
        <v>109.13999999999942</v>
      </c>
      <c r="O43" s="106">
        <v>0.005806332168591085</v>
      </c>
      <c r="P43" s="18"/>
    </row>
    <row r="44" spans="1:15" ht="13.5" thickBot="1">
      <c r="A44" s="165" t="s">
        <v>47</v>
      </c>
      <c r="B44" s="166"/>
      <c r="C44" s="166"/>
      <c r="D44" s="174"/>
      <c r="E44" s="166"/>
      <c r="F44" s="166"/>
      <c r="G44" s="166"/>
      <c r="H44" s="169"/>
      <c r="I44" s="174"/>
      <c r="J44" s="166"/>
      <c r="K44" s="166"/>
      <c r="L44" s="166"/>
      <c r="M44" s="169"/>
      <c r="N44" s="168"/>
      <c r="O44" s="170"/>
    </row>
    <row r="45" spans="1:15" ht="12.75">
      <c r="A45" s="39"/>
      <c r="B45" s="40" t="s">
        <v>0</v>
      </c>
      <c r="C45" s="40"/>
      <c r="D45" s="39"/>
      <c r="E45" s="40"/>
      <c r="F45" s="40"/>
      <c r="G45" s="40"/>
      <c r="H45" s="79"/>
      <c r="I45" s="40"/>
      <c r="J45" s="40"/>
      <c r="K45" s="40"/>
      <c r="L45" s="40"/>
      <c r="M45" s="79"/>
      <c r="N45" s="113"/>
      <c r="O45" s="43"/>
    </row>
    <row r="46" spans="1:15" ht="12.75">
      <c r="A46" s="39"/>
      <c r="B46" s="40"/>
      <c r="C46" s="40" t="s">
        <v>13</v>
      </c>
      <c r="D46" s="110">
        <v>4080</v>
      </c>
      <c r="E46" s="9">
        <v>266.7</v>
      </c>
      <c r="F46" s="10">
        <v>8901</v>
      </c>
      <c r="G46" s="30">
        <v>3321</v>
      </c>
      <c r="H46" s="115">
        <v>16568.7</v>
      </c>
      <c r="I46" s="80">
        <v>4320</v>
      </c>
      <c r="J46" s="9">
        <v>266.7</v>
      </c>
      <c r="K46" s="10">
        <v>8910</v>
      </c>
      <c r="L46" s="30">
        <v>3321</v>
      </c>
      <c r="M46" s="115">
        <v>16817.7</v>
      </c>
      <c r="N46" s="116">
        <v>249</v>
      </c>
      <c r="O46" s="98">
        <v>0.015028336562313277</v>
      </c>
    </row>
    <row r="47" spans="1:15" ht="12.75">
      <c r="A47" s="39"/>
      <c r="B47" s="40"/>
      <c r="C47" s="139" t="s">
        <v>56</v>
      </c>
      <c r="D47" s="110">
        <v>4080</v>
      </c>
      <c r="E47" s="33">
        <v>266.7</v>
      </c>
      <c r="F47" s="10">
        <v>8901</v>
      </c>
      <c r="G47" s="30">
        <v>3321</v>
      </c>
      <c r="H47" s="115">
        <v>16568.7</v>
      </c>
      <c r="I47" s="80">
        <v>4200</v>
      </c>
      <c r="J47" s="33">
        <v>266.7</v>
      </c>
      <c r="K47" s="10">
        <v>8910</v>
      </c>
      <c r="L47" s="30">
        <v>3321</v>
      </c>
      <c r="M47" s="115">
        <v>16697.7</v>
      </c>
      <c r="N47" s="116">
        <v>129</v>
      </c>
      <c r="O47" s="98">
        <v>0.0077857647250538665</v>
      </c>
    </row>
    <row r="48" spans="1:15" ht="12.75">
      <c r="A48" s="46"/>
      <c r="B48" s="47" t="s">
        <v>3</v>
      </c>
      <c r="C48" s="47"/>
      <c r="D48" s="117"/>
      <c r="E48" s="9"/>
      <c r="F48" s="111"/>
      <c r="G48" s="111"/>
      <c r="H48" s="118"/>
      <c r="I48" s="119"/>
      <c r="J48" s="9"/>
      <c r="K48" s="111"/>
      <c r="L48" s="111"/>
      <c r="M48" s="118"/>
      <c r="N48" s="120"/>
      <c r="O48" s="140"/>
    </row>
    <row r="49" spans="1:17" ht="12.75">
      <c r="A49" s="39"/>
      <c r="B49" s="40"/>
      <c r="C49" s="40" t="s">
        <v>57</v>
      </c>
      <c r="D49" s="110">
        <v>4284</v>
      </c>
      <c r="E49" s="9">
        <v>266.7</v>
      </c>
      <c r="F49" s="10">
        <v>8901</v>
      </c>
      <c r="G49" s="30">
        <v>3321</v>
      </c>
      <c r="H49" s="115">
        <v>16772.7</v>
      </c>
      <c r="I49" s="80">
        <v>4284</v>
      </c>
      <c r="J49" s="9">
        <v>266.7</v>
      </c>
      <c r="K49" s="10">
        <v>8910</v>
      </c>
      <c r="L49" s="30">
        <v>3321</v>
      </c>
      <c r="M49" s="115">
        <v>16781.7</v>
      </c>
      <c r="N49" s="116">
        <v>9</v>
      </c>
      <c r="O49" s="98">
        <v>0.000536586238351607</v>
      </c>
      <c r="Q49" s="23"/>
    </row>
    <row r="50" spans="1:17" ht="12.75">
      <c r="A50" s="39"/>
      <c r="B50" s="40"/>
      <c r="C50" s="40" t="s">
        <v>31</v>
      </c>
      <c r="D50" s="110">
        <v>1944</v>
      </c>
      <c r="E50" s="9">
        <v>266.7</v>
      </c>
      <c r="F50" s="10">
        <v>8901</v>
      </c>
      <c r="G50" s="30">
        <v>3321</v>
      </c>
      <c r="H50" s="115">
        <v>14432.7</v>
      </c>
      <c r="I50" s="80">
        <v>2232</v>
      </c>
      <c r="J50" s="9">
        <v>266.7</v>
      </c>
      <c r="K50" s="10">
        <v>8910</v>
      </c>
      <c r="L50" s="30">
        <v>3321</v>
      </c>
      <c r="M50" s="115">
        <v>14729.7</v>
      </c>
      <c r="N50" s="116">
        <v>297</v>
      </c>
      <c r="O50" s="98">
        <v>0.020578270178137147</v>
      </c>
      <c r="Q50" s="23"/>
    </row>
    <row r="51" spans="1:17" ht="12.75">
      <c r="A51" s="39"/>
      <c r="B51" s="40"/>
      <c r="C51" s="40" t="s">
        <v>48</v>
      </c>
      <c r="D51" s="110">
        <v>7668</v>
      </c>
      <c r="E51" s="9">
        <v>266.7</v>
      </c>
      <c r="F51" s="10">
        <v>8901</v>
      </c>
      <c r="G51" s="30">
        <v>3321</v>
      </c>
      <c r="H51" s="115">
        <v>20156.7</v>
      </c>
      <c r="I51" s="80">
        <v>8088</v>
      </c>
      <c r="J51" s="9">
        <v>266.7</v>
      </c>
      <c r="K51" s="10">
        <v>8910</v>
      </c>
      <c r="L51" s="30">
        <v>3321</v>
      </c>
      <c r="M51" s="115">
        <v>20585.7</v>
      </c>
      <c r="N51" s="116">
        <v>429</v>
      </c>
      <c r="O51" s="98">
        <v>0.021283245769396775</v>
      </c>
      <c r="Q51" s="23"/>
    </row>
    <row r="52" spans="1:17" ht="12.75">
      <c r="A52" s="39"/>
      <c r="B52" s="40"/>
      <c r="C52" s="40" t="s">
        <v>49</v>
      </c>
      <c r="D52" s="110">
        <v>4788</v>
      </c>
      <c r="E52" s="9">
        <v>266.7</v>
      </c>
      <c r="F52" s="10">
        <v>8901</v>
      </c>
      <c r="G52" s="30">
        <v>3321</v>
      </c>
      <c r="H52" s="115">
        <v>17276.7</v>
      </c>
      <c r="I52" s="80">
        <v>5052</v>
      </c>
      <c r="J52" s="9">
        <v>266.7</v>
      </c>
      <c r="K52" s="10">
        <v>8910</v>
      </c>
      <c r="L52" s="30">
        <v>3321</v>
      </c>
      <c r="M52" s="115">
        <v>17549.7</v>
      </c>
      <c r="N52" s="116">
        <v>273</v>
      </c>
      <c r="O52" s="98">
        <v>0.015801628783274582</v>
      </c>
      <c r="Q52" s="23"/>
    </row>
    <row r="53" spans="1:17" ht="12.75">
      <c r="A53" s="39"/>
      <c r="B53" s="40"/>
      <c r="C53" s="16" t="s">
        <v>62</v>
      </c>
      <c r="D53" s="110">
        <v>4788</v>
      </c>
      <c r="E53" s="9">
        <v>266.7</v>
      </c>
      <c r="F53" s="10">
        <v>8901</v>
      </c>
      <c r="G53" s="30">
        <v>3321</v>
      </c>
      <c r="H53" s="115">
        <v>17276.7</v>
      </c>
      <c r="I53" s="80">
        <v>5052</v>
      </c>
      <c r="J53" s="9">
        <v>266.7</v>
      </c>
      <c r="K53" s="10">
        <v>8910</v>
      </c>
      <c r="L53" s="30">
        <v>3321</v>
      </c>
      <c r="M53" s="115">
        <v>17549.7</v>
      </c>
      <c r="N53" s="116">
        <v>273</v>
      </c>
      <c r="O53" s="98">
        <v>0.015801628783274582</v>
      </c>
      <c r="Q53" s="23"/>
    </row>
    <row r="54" spans="1:17" ht="12.75">
      <c r="A54" s="39"/>
      <c r="B54" s="40"/>
      <c r="C54" s="16" t="s">
        <v>63</v>
      </c>
      <c r="D54" s="110">
        <v>4920</v>
      </c>
      <c r="E54" s="9">
        <v>266.7</v>
      </c>
      <c r="F54" s="80">
        <v>8901</v>
      </c>
      <c r="G54" s="30">
        <v>3321</v>
      </c>
      <c r="H54" s="115">
        <v>17408.7</v>
      </c>
      <c r="I54" s="110">
        <v>5316</v>
      </c>
      <c r="J54" s="9">
        <v>266.7</v>
      </c>
      <c r="K54" s="80">
        <v>8910</v>
      </c>
      <c r="L54" s="30">
        <v>3321</v>
      </c>
      <c r="M54" s="115">
        <v>17813.7</v>
      </c>
      <c r="N54" s="116">
        <v>405</v>
      </c>
      <c r="O54" s="98">
        <v>0.02326422995398852</v>
      </c>
      <c r="Q54" s="23"/>
    </row>
    <row r="55" spans="1:17" ht="12.75">
      <c r="A55" s="39"/>
      <c r="B55" s="40"/>
      <c r="C55" s="40" t="s">
        <v>27</v>
      </c>
      <c r="D55" s="110">
        <v>6360</v>
      </c>
      <c r="E55" s="9">
        <v>266.7</v>
      </c>
      <c r="F55" s="10">
        <v>8901</v>
      </c>
      <c r="G55" s="30">
        <v>3321</v>
      </c>
      <c r="H55" s="115">
        <v>18848.7</v>
      </c>
      <c r="I55" s="80">
        <v>6678</v>
      </c>
      <c r="J55" s="9">
        <v>266.7</v>
      </c>
      <c r="K55" s="10">
        <v>8910</v>
      </c>
      <c r="L55" s="30">
        <v>3321</v>
      </c>
      <c r="M55" s="115">
        <v>19175.7</v>
      </c>
      <c r="N55" s="116">
        <v>327</v>
      </c>
      <c r="O55" s="98">
        <v>0.017348676566553662</v>
      </c>
      <c r="Q55" s="23"/>
    </row>
    <row r="56" spans="1:17" ht="12.75">
      <c r="A56" s="39"/>
      <c r="B56" s="40"/>
      <c r="C56" s="40" t="s">
        <v>64</v>
      </c>
      <c r="D56" s="110">
        <v>7560</v>
      </c>
      <c r="E56" s="9">
        <v>266.7</v>
      </c>
      <c r="F56" s="10">
        <v>8901</v>
      </c>
      <c r="G56" s="30">
        <v>3321</v>
      </c>
      <c r="H56" s="115">
        <v>20048.7</v>
      </c>
      <c r="I56" s="80">
        <v>7560</v>
      </c>
      <c r="J56" s="9">
        <v>266.7</v>
      </c>
      <c r="K56" s="10">
        <v>8910</v>
      </c>
      <c r="L56" s="30">
        <v>3321</v>
      </c>
      <c r="M56" s="115">
        <v>20057.7</v>
      </c>
      <c r="N56" s="116">
        <v>9</v>
      </c>
      <c r="O56" s="98">
        <v>0.00044890691167008334</v>
      </c>
      <c r="Q56" s="23"/>
    </row>
    <row r="57" spans="1:17" ht="14.25">
      <c r="A57" s="39"/>
      <c r="B57" s="40"/>
      <c r="C57" s="40" t="s">
        <v>60</v>
      </c>
      <c r="D57" s="110"/>
      <c r="E57" s="9"/>
      <c r="F57" s="10"/>
      <c r="G57" s="30"/>
      <c r="H57" s="115"/>
      <c r="I57" s="80">
        <v>5640</v>
      </c>
      <c r="J57" s="9">
        <v>266.7</v>
      </c>
      <c r="K57" s="10">
        <v>8910</v>
      </c>
      <c r="L57" s="30">
        <v>3321</v>
      </c>
      <c r="M57" s="115">
        <v>18137.7</v>
      </c>
      <c r="N57" s="93" t="s">
        <v>54</v>
      </c>
      <c r="O57" s="94" t="s">
        <v>54</v>
      </c>
      <c r="Q57" s="23"/>
    </row>
    <row r="58" spans="1:17" ht="12.75">
      <c r="A58" s="39"/>
      <c r="B58" s="40"/>
      <c r="C58" s="16" t="s">
        <v>50</v>
      </c>
      <c r="D58" s="110">
        <v>5880</v>
      </c>
      <c r="E58" s="9">
        <v>266.7</v>
      </c>
      <c r="F58" s="10">
        <v>8901</v>
      </c>
      <c r="G58" s="30">
        <v>3321</v>
      </c>
      <c r="H58" s="115">
        <v>18368.7</v>
      </c>
      <c r="I58" s="80">
        <v>6240</v>
      </c>
      <c r="J58" s="9">
        <v>266.7</v>
      </c>
      <c r="K58" s="10">
        <v>8910</v>
      </c>
      <c r="L58" s="30">
        <v>3321</v>
      </c>
      <c r="M58" s="115">
        <v>18737.7</v>
      </c>
      <c r="N58" s="116">
        <v>369</v>
      </c>
      <c r="O58" s="98">
        <v>0.0200885201456826</v>
      </c>
      <c r="Q58" s="23"/>
    </row>
    <row r="59" spans="1:17" ht="12.75">
      <c r="A59" s="39"/>
      <c r="B59" s="40"/>
      <c r="C59" s="16" t="s">
        <v>51</v>
      </c>
      <c r="D59" s="110">
        <v>5580</v>
      </c>
      <c r="E59" s="9">
        <v>266.7</v>
      </c>
      <c r="F59" s="80">
        <v>8901</v>
      </c>
      <c r="G59" s="30">
        <v>3321</v>
      </c>
      <c r="H59" s="115">
        <v>18068.7</v>
      </c>
      <c r="I59" s="110">
        <v>6000</v>
      </c>
      <c r="J59" s="9">
        <v>266.7</v>
      </c>
      <c r="K59" s="80">
        <v>8910</v>
      </c>
      <c r="L59" s="30">
        <v>3321</v>
      </c>
      <c r="M59" s="115">
        <v>18497.7</v>
      </c>
      <c r="N59" s="116">
        <v>429</v>
      </c>
      <c r="O59" s="98">
        <v>0.023742715303259228</v>
      </c>
      <c r="Q59" s="23"/>
    </row>
    <row r="60" spans="1:15" ht="14.25">
      <c r="A60" s="39"/>
      <c r="B60" s="40"/>
      <c r="C60" s="16" t="s">
        <v>58</v>
      </c>
      <c r="D60" s="110">
        <v>1704</v>
      </c>
      <c r="E60" s="33">
        <v>266.7</v>
      </c>
      <c r="F60" s="10">
        <v>8901</v>
      </c>
      <c r="G60" s="30">
        <v>3321</v>
      </c>
      <c r="H60" s="115">
        <v>14192.7</v>
      </c>
      <c r="I60" s="80">
        <v>1752</v>
      </c>
      <c r="J60" s="33">
        <v>266.7</v>
      </c>
      <c r="K60" s="10">
        <v>8910</v>
      </c>
      <c r="L60" s="30">
        <v>3321</v>
      </c>
      <c r="M60" s="115">
        <v>14249.7</v>
      </c>
      <c r="N60" s="116">
        <v>57</v>
      </c>
      <c r="O60" s="98">
        <v>0.004016149147096746</v>
      </c>
    </row>
    <row r="61" spans="1:15" ht="12.75">
      <c r="A61" s="46"/>
      <c r="B61" s="47" t="s">
        <v>11</v>
      </c>
      <c r="C61" s="47"/>
      <c r="D61" s="117"/>
      <c r="E61" s="122"/>
      <c r="F61" s="122"/>
      <c r="G61" s="122"/>
      <c r="H61" s="123"/>
      <c r="I61" s="119"/>
      <c r="J61" s="122"/>
      <c r="K61" s="122"/>
      <c r="L61" s="122"/>
      <c r="M61" s="123"/>
      <c r="N61" s="124"/>
      <c r="O61" s="121"/>
    </row>
    <row r="62" spans="1:15" ht="12.75">
      <c r="A62" s="39"/>
      <c r="B62" s="40"/>
      <c r="C62" s="141" t="s">
        <v>42</v>
      </c>
      <c r="D62" s="151" t="s">
        <v>54</v>
      </c>
      <c r="E62" s="125" t="s">
        <v>54</v>
      </c>
      <c r="F62" s="125" t="s">
        <v>54</v>
      </c>
      <c r="G62" s="125" t="s">
        <v>54</v>
      </c>
      <c r="H62" s="126" t="s">
        <v>54</v>
      </c>
      <c r="I62" s="125" t="s">
        <v>54</v>
      </c>
      <c r="J62" s="125" t="s">
        <v>54</v>
      </c>
      <c r="K62" s="125" t="s">
        <v>54</v>
      </c>
      <c r="L62" s="125" t="s">
        <v>54</v>
      </c>
      <c r="M62" s="126" t="s">
        <v>54</v>
      </c>
      <c r="N62" s="93" t="s">
        <v>54</v>
      </c>
      <c r="O62" s="94" t="s">
        <v>54</v>
      </c>
    </row>
    <row r="63" spans="1:15" ht="12.75">
      <c r="A63" s="39"/>
      <c r="B63" s="40"/>
      <c r="C63" s="141" t="s">
        <v>43</v>
      </c>
      <c r="D63" s="151" t="s">
        <v>54</v>
      </c>
      <c r="E63" s="125" t="s">
        <v>54</v>
      </c>
      <c r="F63" s="125" t="s">
        <v>54</v>
      </c>
      <c r="G63" s="125" t="s">
        <v>54</v>
      </c>
      <c r="H63" s="126" t="s">
        <v>54</v>
      </c>
      <c r="I63" s="125" t="s">
        <v>54</v>
      </c>
      <c r="J63" s="125" t="s">
        <v>54</v>
      </c>
      <c r="K63" s="125" t="s">
        <v>54</v>
      </c>
      <c r="L63" s="125" t="s">
        <v>54</v>
      </c>
      <c r="M63" s="126" t="s">
        <v>54</v>
      </c>
      <c r="N63" s="93" t="s">
        <v>54</v>
      </c>
      <c r="O63" s="94" t="s">
        <v>54</v>
      </c>
    </row>
    <row r="64" spans="1:15" ht="12.75">
      <c r="A64" s="39"/>
      <c r="B64" s="40"/>
      <c r="C64" s="141" t="s">
        <v>44</v>
      </c>
      <c r="D64" s="151" t="s">
        <v>54</v>
      </c>
      <c r="E64" s="125" t="s">
        <v>54</v>
      </c>
      <c r="F64" s="125" t="s">
        <v>54</v>
      </c>
      <c r="G64" s="125" t="s">
        <v>54</v>
      </c>
      <c r="H64" s="126" t="s">
        <v>54</v>
      </c>
      <c r="I64" s="125" t="s">
        <v>54</v>
      </c>
      <c r="J64" s="125" t="s">
        <v>54</v>
      </c>
      <c r="K64" s="125" t="s">
        <v>54</v>
      </c>
      <c r="L64" s="125" t="s">
        <v>54</v>
      </c>
      <c r="M64" s="126" t="s">
        <v>54</v>
      </c>
      <c r="N64" s="93" t="s">
        <v>54</v>
      </c>
      <c r="O64" s="94" t="s">
        <v>54</v>
      </c>
    </row>
    <row r="65" spans="1:15" ht="12.75">
      <c r="A65" s="39"/>
      <c r="B65" s="40"/>
      <c r="C65" s="141" t="s">
        <v>37</v>
      </c>
      <c r="D65" s="151" t="s">
        <v>54</v>
      </c>
      <c r="E65" s="125" t="s">
        <v>54</v>
      </c>
      <c r="F65" s="125" t="s">
        <v>54</v>
      </c>
      <c r="G65" s="125" t="s">
        <v>54</v>
      </c>
      <c r="H65" s="126" t="s">
        <v>54</v>
      </c>
      <c r="I65" s="125" t="s">
        <v>54</v>
      </c>
      <c r="J65" s="125" t="s">
        <v>54</v>
      </c>
      <c r="K65" s="125" t="s">
        <v>54</v>
      </c>
      <c r="L65" s="125" t="s">
        <v>54</v>
      </c>
      <c r="M65" s="126" t="s">
        <v>54</v>
      </c>
      <c r="N65" s="93" t="s">
        <v>54</v>
      </c>
      <c r="O65" s="94" t="s">
        <v>54</v>
      </c>
    </row>
    <row r="66" spans="1:24" s="12" customFormat="1" ht="13.5" thickBot="1">
      <c r="A66" s="109"/>
      <c r="B66" s="87"/>
      <c r="C66" s="142" t="s">
        <v>45</v>
      </c>
      <c r="D66" s="57" t="s">
        <v>54</v>
      </c>
      <c r="E66" s="128" t="s">
        <v>54</v>
      </c>
      <c r="F66" s="128" t="s">
        <v>54</v>
      </c>
      <c r="G66" s="128" t="s">
        <v>54</v>
      </c>
      <c r="H66" s="58" t="s">
        <v>54</v>
      </c>
      <c r="I66" s="128" t="s">
        <v>54</v>
      </c>
      <c r="J66" s="128" t="s">
        <v>54</v>
      </c>
      <c r="K66" s="128" t="s">
        <v>54</v>
      </c>
      <c r="L66" s="128" t="s">
        <v>54</v>
      </c>
      <c r="M66" s="58" t="s">
        <v>54</v>
      </c>
      <c r="N66" s="127" t="s">
        <v>54</v>
      </c>
      <c r="O66" s="129" t="s">
        <v>54</v>
      </c>
      <c r="P66" s="11"/>
      <c r="Q66" s="11"/>
      <c r="R66" s="11"/>
      <c r="S66" s="11"/>
      <c r="T66" s="11"/>
      <c r="U66" s="11"/>
      <c r="V66" s="11"/>
      <c r="W66" s="11"/>
      <c r="X66" s="11"/>
    </row>
    <row r="67" spans="1:24" s="16" customFormat="1" ht="12.75" customHeight="1">
      <c r="A67" s="4"/>
      <c r="B67" s="4" t="s">
        <v>23</v>
      </c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8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16" customFormat="1" ht="12.75" customHeight="1">
      <c r="A68" s="4"/>
      <c r="B68" s="108"/>
      <c r="C68" s="16" t="s">
        <v>79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8"/>
      <c r="P68" s="27"/>
      <c r="Q68" s="27"/>
      <c r="R68" s="27"/>
      <c r="S68" s="27"/>
      <c r="T68" s="27"/>
      <c r="U68" s="27"/>
      <c r="V68" s="27"/>
      <c r="W68" s="27"/>
      <c r="X68" s="27"/>
    </row>
    <row r="69" spans="1:24" s="12" customFormat="1" ht="14.25" customHeight="1">
      <c r="A69" s="16"/>
      <c r="B69" s="16"/>
      <c r="C69" s="67" t="s">
        <v>92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0"/>
      <c r="P69" s="11"/>
      <c r="Q69" s="11"/>
      <c r="R69" s="11"/>
      <c r="S69" s="11"/>
      <c r="T69" s="11"/>
      <c r="U69" s="11"/>
      <c r="V69" s="11"/>
      <c r="W69" s="11"/>
      <c r="X69" s="11"/>
    </row>
    <row r="70" spans="1:24" s="12" customFormat="1" ht="12.75">
      <c r="A70" s="16"/>
      <c r="B70" s="16"/>
      <c r="C70" s="67" t="s">
        <v>93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0"/>
      <c r="P70" s="11"/>
      <c r="Q70" s="11"/>
      <c r="R70" s="11"/>
      <c r="S70" s="11"/>
      <c r="T70" s="11"/>
      <c r="U70" s="11"/>
      <c r="V70" s="11"/>
      <c r="W70" s="11"/>
      <c r="X70" s="11"/>
    </row>
    <row r="71" spans="1:24" s="12" customFormat="1" ht="12.75">
      <c r="A71" s="16"/>
      <c r="B71" s="16"/>
      <c r="C71" s="16" t="s">
        <v>80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0"/>
      <c r="P71" s="11"/>
      <c r="Q71" s="11"/>
      <c r="R71" s="11"/>
      <c r="S71" s="11"/>
      <c r="T71" s="11"/>
      <c r="U71" s="11"/>
      <c r="V71" s="11"/>
      <c r="W71" s="11"/>
      <c r="X71" s="11"/>
    </row>
    <row r="72" spans="1:15" ht="26.25" customHeight="1">
      <c r="A72" s="12"/>
      <c r="B72" s="12"/>
      <c r="C72" s="187" t="s">
        <v>66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5" ht="12.75">
      <c r="A73" s="12"/>
      <c r="B73" s="12"/>
      <c r="C73" s="12" t="s">
        <v>24</v>
      </c>
      <c r="D73" s="12"/>
      <c r="E73" s="12"/>
      <c r="F73" s="12"/>
      <c r="G73" s="12"/>
      <c r="H73" s="21"/>
      <c r="I73" s="12"/>
      <c r="J73" s="12"/>
      <c r="K73" s="12"/>
      <c r="L73" s="12"/>
      <c r="M73" s="21"/>
      <c r="N73" s="12"/>
      <c r="O73" s="21"/>
    </row>
    <row r="74" spans="1:15" ht="12.75">
      <c r="A74"/>
      <c r="B74"/>
      <c r="C74" s="12" t="s">
        <v>81</v>
      </c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 s="14" t="s">
        <v>82</v>
      </c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 s="14" t="s">
        <v>90</v>
      </c>
      <c r="D76"/>
      <c r="E76"/>
      <c r="F76"/>
      <c r="G76"/>
      <c r="H76"/>
      <c r="I76"/>
      <c r="J76"/>
      <c r="K76"/>
      <c r="L76"/>
      <c r="M76"/>
      <c r="N76"/>
      <c r="O76"/>
    </row>
    <row r="77" ht="12.75">
      <c r="C77" s="14" t="s">
        <v>73</v>
      </c>
    </row>
  </sheetData>
  <sheetProtection/>
  <mergeCells count="2">
    <mergeCell ref="C72:O72"/>
    <mergeCell ref="A4:O4"/>
  </mergeCells>
  <printOptions horizontalCentered="1"/>
  <pageMargins left="0.4" right="0.24" top="0.34" bottom="0.25" header="0.22" footer="0.01"/>
  <pageSetup fitToHeight="2" horizontalDpi="600" verticalDpi="600" orientation="landscape" scale="86" r:id="rId1"/>
  <rowBreaks count="1" manualBreakCount="1">
    <brk id="4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Normal="75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2.00390625" style="14" customWidth="1"/>
    <col min="2" max="2" width="2.28125" style="14" customWidth="1"/>
    <col min="3" max="3" width="35.00390625" style="14" customWidth="1"/>
    <col min="4" max="6" width="9.7109375" style="14" customWidth="1"/>
    <col min="7" max="7" width="9.7109375" style="22" customWidth="1"/>
    <col min="8" max="10" width="9.7109375" style="14" customWidth="1"/>
    <col min="11" max="11" width="9.7109375" style="22" customWidth="1"/>
    <col min="12" max="12" width="9.7109375" style="14" customWidth="1"/>
    <col min="13" max="13" width="9.7109375" style="22" customWidth="1"/>
    <col min="14" max="15" width="9.7109375" style="13" customWidth="1"/>
    <col min="16" max="22" width="8.8515625" style="13" customWidth="1"/>
    <col min="23" max="16384" width="9.140625" style="14" customWidth="1"/>
  </cols>
  <sheetData>
    <row r="1" spans="1:24" ht="18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W1" s="13"/>
      <c r="X1" s="13"/>
    </row>
    <row r="2" spans="1:24" ht="18">
      <c r="A2" s="152" t="s">
        <v>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W2" s="13"/>
      <c r="X2" s="13"/>
    </row>
    <row r="3" spans="1:24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W3" s="13"/>
      <c r="X3" s="13"/>
    </row>
    <row r="4" spans="1:15" ht="18.75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4" s="1" customFormat="1" ht="28.5" customHeight="1" thickBot="1">
      <c r="A5" s="163"/>
      <c r="B5" s="154"/>
      <c r="C5" s="155"/>
      <c r="D5" s="175" t="s">
        <v>67</v>
      </c>
      <c r="E5" s="156"/>
      <c r="F5" s="156"/>
      <c r="G5" s="156"/>
      <c r="H5" s="157"/>
      <c r="I5" s="175" t="s">
        <v>68</v>
      </c>
      <c r="J5" s="156"/>
      <c r="K5" s="156"/>
      <c r="L5" s="156"/>
      <c r="M5" s="157"/>
      <c r="N5" s="158" t="s">
        <v>83</v>
      </c>
      <c r="O5" s="159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6.5" customHeight="1" thickBot="1">
      <c r="A6" s="164"/>
      <c r="B6" s="160"/>
      <c r="C6" s="160"/>
      <c r="D6" s="161" t="s">
        <v>16</v>
      </c>
      <c r="E6" s="190" t="s">
        <v>84</v>
      </c>
      <c r="F6" s="190" t="s">
        <v>85</v>
      </c>
      <c r="G6" s="190" t="s">
        <v>86</v>
      </c>
      <c r="H6" s="162" t="s">
        <v>15</v>
      </c>
      <c r="I6" s="161" t="s">
        <v>16</v>
      </c>
      <c r="J6" s="190" t="s">
        <v>84</v>
      </c>
      <c r="K6" s="190" t="s">
        <v>85</v>
      </c>
      <c r="L6" s="190" t="s">
        <v>86</v>
      </c>
      <c r="M6" s="162" t="s">
        <v>15</v>
      </c>
      <c r="N6" s="191" t="s">
        <v>94</v>
      </c>
      <c r="O6" s="162" t="s">
        <v>95</v>
      </c>
      <c r="P6" s="2"/>
      <c r="Q6" s="2"/>
      <c r="R6" s="2"/>
      <c r="S6" s="2"/>
      <c r="T6" s="2"/>
      <c r="U6" s="2"/>
      <c r="V6" s="2"/>
      <c r="W6" s="2"/>
      <c r="X6" s="2"/>
    </row>
    <row r="7" spans="1:24" ht="13.5" thickBot="1">
      <c r="A7" s="165" t="s">
        <v>12</v>
      </c>
      <c r="B7" s="166"/>
      <c r="C7" s="171"/>
      <c r="D7" s="166"/>
      <c r="E7" s="166"/>
      <c r="F7" s="166"/>
      <c r="G7" s="166"/>
      <c r="H7" s="170"/>
      <c r="I7" s="166"/>
      <c r="J7" s="166"/>
      <c r="K7" s="166"/>
      <c r="L7" s="166"/>
      <c r="M7" s="170"/>
      <c r="N7" s="166"/>
      <c r="O7" s="170"/>
      <c r="W7" s="13"/>
      <c r="X7" s="13"/>
    </row>
    <row r="8" spans="1:24" ht="12.75">
      <c r="A8" s="39"/>
      <c r="B8" s="40" t="s">
        <v>32</v>
      </c>
      <c r="C8" s="40"/>
      <c r="D8" s="41"/>
      <c r="E8" s="42"/>
      <c r="F8" s="42"/>
      <c r="G8" s="42"/>
      <c r="H8" s="43"/>
      <c r="I8" s="40"/>
      <c r="J8" s="40"/>
      <c r="K8" s="40"/>
      <c r="L8" s="40"/>
      <c r="M8" s="52"/>
      <c r="N8" s="41"/>
      <c r="O8" s="43"/>
      <c r="W8" s="13"/>
      <c r="X8" s="13"/>
    </row>
    <row r="9" spans="1:24" ht="12.75">
      <c r="A9" s="39"/>
      <c r="B9" s="40"/>
      <c r="C9" s="40" t="s">
        <v>26</v>
      </c>
      <c r="D9" s="61">
        <v>29952</v>
      </c>
      <c r="E9" s="9">
        <v>1197</v>
      </c>
      <c r="F9" s="9">
        <f>5865*2</f>
        <v>11730</v>
      </c>
      <c r="G9" s="30">
        <v>3321</v>
      </c>
      <c r="H9" s="44">
        <f>D9+E9+F9+G9</f>
        <v>46200</v>
      </c>
      <c r="I9" s="61">
        <v>30528</v>
      </c>
      <c r="J9" s="9">
        <v>1345.54</v>
      </c>
      <c r="K9" s="9">
        <v>12258</v>
      </c>
      <c r="L9" s="30">
        <v>3321</v>
      </c>
      <c r="M9" s="44">
        <f>I9+J9+K9+L9</f>
        <v>47452.54</v>
      </c>
      <c r="N9" s="29">
        <f>M9-H9</f>
        <v>1252.5400000000009</v>
      </c>
      <c r="O9" s="31">
        <f>N9/H9</f>
        <v>0.02711125541125543</v>
      </c>
      <c r="W9" s="13"/>
      <c r="X9" s="13"/>
    </row>
    <row r="10" spans="1:24" ht="13.5" customHeight="1">
      <c r="A10" s="39"/>
      <c r="B10" s="40"/>
      <c r="C10" s="40" t="s">
        <v>25</v>
      </c>
      <c r="D10" s="61">
        <v>30258</v>
      </c>
      <c r="E10" s="9">
        <v>1197</v>
      </c>
      <c r="F10" s="9">
        <f>5865*2</f>
        <v>11730</v>
      </c>
      <c r="G10" s="30">
        <v>3321</v>
      </c>
      <c r="H10" s="44">
        <f>D10+E10+F10+G10</f>
        <v>46506</v>
      </c>
      <c r="I10" s="61">
        <v>30834</v>
      </c>
      <c r="J10" s="9">
        <v>1345.54</v>
      </c>
      <c r="K10" s="9">
        <v>12258</v>
      </c>
      <c r="L10" s="30">
        <v>3321</v>
      </c>
      <c r="M10" s="44">
        <f>I10+J10+K10+L10</f>
        <v>47758.54</v>
      </c>
      <c r="N10" s="29">
        <f>M10-H10</f>
        <v>1252.5400000000009</v>
      </c>
      <c r="O10" s="31">
        <f>N10/H10</f>
        <v>0.026932868877134152</v>
      </c>
      <c r="W10" s="13"/>
      <c r="X10" s="13"/>
    </row>
    <row r="11" spans="1:24" ht="12.75">
      <c r="A11" s="39"/>
      <c r="B11" s="40"/>
      <c r="C11" s="40" t="s">
        <v>2</v>
      </c>
      <c r="D11" s="61">
        <v>32490</v>
      </c>
      <c r="E11" s="9">
        <v>1197</v>
      </c>
      <c r="F11" s="9">
        <f>5865*2</f>
        <v>11730</v>
      </c>
      <c r="G11" s="30">
        <v>3321</v>
      </c>
      <c r="H11" s="44">
        <f>D11+E11+F11+G11</f>
        <v>48738</v>
      </c>
      <c r="I11" s="61">
        <v>33102</v>
      </c>
      <c r="J11" s="9">
        <v>1345.54</v>
      </c>
      <c r="K11" s="9">
        <v>12258</v>
      </c>
      <c r="L11" s="30">
        <v>3321</v>
      </c>
      <c r="M11" s="44">
        <f>I11+J11+K11+L11</f>
        <v>50026.54</v>
      </c>
      <c r="N11" s="29">
        <f>M11-H11</f>
        <v>1288.5400000000009</v>
      </c>
      <c r="O11" s="31">
        <f>N11/H11</f>
        <v>0.026438097582994806</v>
      </c>
      <c r="W11" s="13"/>
      <c r="X11" s="13"/>
    </row>
    <row r="12" spans="1:24" ht="12.75">
      <c r="A12" s="39"/>
      <c r="B12" s="40"/>
      <c r="C12" s="40" t="s">
        <v>1</v>
      </c>
      <c r="D12" s="62">
        <v>33462</v>
      </c>
      <c r="E12" s="33">
        <v>1197</v>
      </c>
      <c r="F12" s="9">
        <f>5865*2</f>
        <v>11730</v>
      </c>
      <c r="G12" s="30">
        <v>3321</v>
      </c>
      <c r="H12" s="45">
        <f>D12+E12+F12+G12</f>
        <v>49710</v>
      </c>
      <c r="I12" s="62">
        <v>33804</v>
      </c>
      <c r="J12" s="33">
        <v>1345.54</v>
      </c>
      <c r="K12" s="9">
        <v>12258</v>
      </c>
      <c r="L12" s="30">
        <v>3321</v>
      </c>
      <c r="M12" s="45">
        <f>I12+J12+K12+L12</f>
        <v>50728.54</v>
      </c>
      <c r="N12" s="32">
        <f>M12-H12</f>
        <v>1018.5400000000009</v>
      </c>
      <c r="O12" s="35">
        <f>N12/H12</f>
        <v>0.02048963991148664</v>
      </c>
      <c r="P12" s="15"/>
      <c r="W12" s="13"/>
      <c r="X12" s="13"/>
    </row>
    <row r="13" spans="1:24" ht="12.75">
      <c r="A13" s="46"/>
      <c r="B13" s="47" t="s">
        <v>3</v>
      </c>
      <c r="C13" s="47"/>
      <c r="D13" s="65"/>
      <c r="E13" s="9"/>
      <c r="F13" s="38"/>
      <c r="G13" s="56"/>
      <c r="H13" s="44"/>
      <c r="I13" s="64"/>
      <c r="J13" s="9"/>
      <c r="K13" s="38"/>
      <c r="L13" s="56"/>
      <c r="M13" s="44"/>
      <c r="N13" s="29"/>
      <c r="O13" s="31"/>
      <c r="W13" s="13"/>
      <c r="X13" s="13"/>
    </row>
    <row r="14" spans="1:24" ht="12.75">
      <c r="A14" s="39"/>
      <c r="B14" s="40"/>
      <c r="C14" s="40" t="s">
        <v>26</v>
      </c>
      <c r="D14" s="61">
        <v>17472</v>
      </c>
      <c r="E14" s="9">
        <v>1206</v>
      </c>
      <c r="F14" s="9">
        <v>8901</v>
      </c>
      <c r="G14" s="30">
        <v>3321</v>
      </c>
      <c r="H14" s="44">
        <f aca="true" t="shared" si="0" ref="H14:H19">D14+E14+F14+G14</f>
        <v>30900</v>
      </c>
      <c r="I14" s="63">
        <f>8904*2</f>
        <v>17808</v>
      </c>
      <c r="J14" s="9">
        <f>J12+9</f>
        <v>1354.54</v>
      </c>
      <c r="K14" s="9">
        <v>8910</v>
      </c>
      <c r="L14" s="30">
        <v>3321</v>
      </c>
      <c r="M14" s="44">
        <f aca="true" t="shared" si="1" ref="M14:M20">I14+J14+K14+L14</f>
        <v>31393.54</v>
      </c>
      <c r="N14" s="29">
        <f aca="true" t="shared" si="2" ref="N14:N19">M14-H14</f>
        <v>493.5400000000009</v>
      </c>
      <c r="O14" s="31">
        <f aca="true" t="shared" si="3" ref="O14:O19">N14/H14</f>
        <v>0.015972168284789673</v>
      </c>
      <c r="P14" s="23"/>
      <c r="W14" s="13"/>
      <c r="X14" s="13"/>
    </row>
    <row r="15" spans="1:24" ht="12.75">
      <c r="A15" s="39"/>
      <c r="B15" s="40"/>
      <c r="C15" s="40" t="s">
        <v>25</v>
      </c>
      <c r="D15" s="61">
        <v>17676</v>
      </c>
      <c r="E15" s="9">
        <v>1206</v>
      </c>
      <c r="F15" s="9">
        <v>8901</v>
      </c>
      <c r="G15" s="30">
        <v>3321</v>
      </c>
      <c r="H15" s="44">
        <f t="shared" si="0"/>
        <v>31104</v>
      </c>
      <c r="I15" s="63">
        <f>9006*2</f>
        <v>18012</v>
      </c>
      <c r="J15" s="9">
        <v>1354.54</v>
      </c>
      <c r="K15" s="9">
        <v>8910</v>
      </c>
      <c r="L15" s="30">
        <v>3321</v>
      </c>
      <c r="M15" s="44">
        <f t="shared" si="1"/>
        <v>31597.54</v>
      </c>
      <c r="N15" s="29">
        <f t="shared" si="2"/>
        <v>493.5400000000009</v>
      </c>
      <c r="O15" s="31">
        <f t="shared" si="3"/>
        <v>0.015867412551440356</v>
      </c>
      <c r="W15" s="13"/>
      <c r="X15" s="13"/>
    </row>
    <row r="16" spans="1:24" ht="12.75">
      <c r="A16" s="39"/>
      <c r="B16" s="40"/>
      <c r="C16" s="40" t="s">
        <v>2</v>
      </c>
      <c r="D16" s="61">
        <v>19068</v>
      </c>
      <c r="E16" s="9">
        <v>1206</v>
      </c>
      <c r="F16" s="9">
        <v>8901</v>
      </c>
      <c r="G16" s="30">
        <v>3321</v>
      </c>
      <c r="H16" s="44">
        <f t="shared" si="0"/>
        <v>32496</v>
      </c>
      <c r="I16" s="63">
        <f>9714*2</f>
        <v>19428</v>
      </c>
      <c r="J16" s="9">
        <v>1354.54</v>
      </c>
      <c r="K16" s="9">
        <v>8910</v>
      </c>
      <c r="L16" s="30">
        <v>3321</v>
      </c>
      <c r="M16" s="44">
        <f t="shared" si="1"/>
        <v>33013.54</v>
      </c>
      <c r="N16" s="29">
        <f t="shared" si="2"/>
        <v>517.5400000000009</v>
      </c>
      <c r="O16" s="31">
        <f t="shared" si="3"/>
        <v>0.015926267848350592</v>
      </c>
      <c r="W16" s="13"/>
      <c r="X16" s="13"/>
    </row>
    <row r="17" spans="1:24" ht="12.75">
      <c r="A17" s="39"/>
      <c r="B17" s="40"/>
      <c r="C17" s="40" t="s">
        <v>5</v>
      </c>
      <c r="D17" s="61">
        <v>19632</v>
      </c>
      <c r="E17" s="9">
        <v>1206</v>
      </c>
      <c r="F17" s="9">
        <v>8901</v>
      </c>
      <c r="G17" s="30">
        <v>3321</v>
      </c>
      <c r="H17" s="44">
        <f t="shared" si="0"/>
        <v>33060</v>
      </c>
      <c r="I17" s="63">
        <f>10002*2</f>
        <v>20004</v>
      </c>
      <c r="J17" s="9">
        <v>1354.54</v>
      </c>
      <c r="K17" s="9">
        <v>8910</v>
      </c>
      <c r="L17" s="30">
        <v>3321</v>
      </c>
      <c r="M17" s="44">
        <f t="shared" si="1"/>
        <v>33589.54</v>
      </c>
      <c r="N17" s="29">
        <f t="shared" si="2"/>
        <v>529.5400000000009</v>
      </c>
      <c r="O17" s="31">
        <f t="shared" si="3"/>
        <v>0.01601754385964915</v>
      </c>
      <c r="W17" s="13"/>
      <c r="X17" s="13"/>
    </row>
    <row r="18" spans="1:24" ht="12.75">
      <c r="A18" s="39"/>
      <c r="B18" s="40"/>
      <c r="C18" s="40" t="s">
        <v>4</v>
      </c>
      <c r="D18" s="61">
        <v>19932</v>
      </c>
      <c r="E18" s="9">
        <v>1206</v>
      </c>
      <c r="F18" s="9">
        <v>8901</v>
      </c>
      <c r="G18" s="30">
        <v>3321</v>
      </c>
      <c r="H18" s="44">
        <f t="shared" si="0"/>
        <v>33360</v>
      </c>
      <c r="I18" s="63">
        <f>10158*2</f>
        <v>20316</v>
      </c>
      <c r="J18" s="9">
        <v>1354.54</v>
      </c>
      <c r="K18" s="9">
        <v>8910</v>
      </c>
      <c r="L18" s="30">
        <v>3321</v>
      </c>
      <c r="M18" s="44">
        <f t="shared" si="1"/>
        <v>33901.54</v>
      </c>
      <c r="N18" s="29">
        <f t="shared" si="2"/>
        <v>541.5400000000009</v>
      </c>
      <c r="O18" s="31">
        <f t="shared" si="3"/>
        <v>0.01623321342925662</v>
      </c>
      <c r="W18" s="13"/>
      <c r="X18" s="13"/>
    </row>
    <row r="19" spans="1:24" ht="12.75">
      <c r="A19" s="39"/>
      <c r="B19" s="40"/>
      <c r="C19" s="40" t="s">
        <v>40</v>
      </c>
      <c r="D19" s="61">
        <f>12168*2</f>
        <v>24336</v>
      </c>
      <c r="E19" s="9">
        <v>1206</v>
      </c>
      <c r="F19" s="9">
        <v>8901</v>
      </c>
      <c r="G19" s="30">
        <v>3321</v>
      </c>
      <c r="H19" s="44">
        <f t="shared" si="0"/>
        <v>37764</v>
      </c>
      <c r="I19" s="63">
        <f>12168*2</f>
        <v>24336</v>
      </c>
      <c r="J19" s="9">
        <v>1354.54</v>
      </c>
      <c r="K19" s="9">
        <v>8910</v>
      </c>
      <c r="L19" s="30">
        <v>3321</v>
      </c>
      <c r="M19" s="44">
        <f t="shared" si="1"/>
        <v>37921.54</v>
      </c>
      <c r="N19" s="29">
        <f t="shared" si="2"/>
        <v>157.54000000000087</v>
      </c>
      <c r="O19" s="31">
        <f t="shared" si="3"/>
        <v>0.004171697913356659</v>
      </c>
      <c r="W19" s="13"/>
      <c r="X19" s="13"/>
    </row>
    <row r="20" spans="1:24" ht="15" thickBot="1">
      <c r="A20" s="39"/>
      <c r="B20" s="40"/>
      <c r="C20" s="16" t="s">
        <v>71</v>
      </c>
      <c r="D20" s="66"/>
      <c r="E20" s="36"/>
      <c r="F20" s="36"/>
      <c r="G20" s="37"/>
      <c r="H20" s="55"/>
      <c r="I20" s="63">
        <f>12198*2</f>
        <v>24396</v>
      </c>
      <c r="J20" s="9">
        <v>1354.54</v>
      </c>
      <c r="K20" s="9">
        <v>8910</v>
      </c>
      <c r="L20" s="30">
        <v>3321</v>
      </c>
      <c r="M20" s="44">
        <f t="shared" si="1"/>
        <v>37981.54</v>
      </c>
      <c r="N20" s="57" t="s">
        <v>17</v>
      </c>
      <c r="O20" s="58" t="s">
        <v>17</v>
      </c>
      <c r="W20" s="13"/>
      <c r="X20" s="13"/>
    </row>
    <row r="21" spans="1:24" ht="13.5" thickBot="1">
      <c r="A21" s="165" t="s">
        <v>6</v>
      </c>
      <c r="B21" s="166"/>
      <c r="C21" s="171"/>
      <c r="D21" s="166"/>
      <c r="E21" s="166"/>
      <c r="F21" s="166"/>
      <c r="G21" s="166"/>
      <c r="H21" s="173"/>
      <c r="I21" s="166"/>
      <c r="J21" s="166"/>
      <c r="K21" s="166"/>
      <c r="L21" s="166"/>
      <c r="M21" s="173"/>
      <c r="N21" s="168"/>
      <c r="O21" s="170"/>
      <c r="W21" s="13"/>
      <c r="X21" s="13"/>
    </row>
    <row r="22" spans="1:24" ht="12.75">
      <c r="A22" s="39"/>
      <c r="B22" s="40" t="s">
        <v>0</v>
      </c>
      <c r="C22" s="59"/>
      <c r="D22" s="40"/>
      <c r="E22" s="30"/>
      <c r="F22" s="40"/>
      <c r="G22" s="40"/>
      <c r="H22" s="50"/>
      <c r="I22" s="40"/>
      <c r="J22" s="30"/>
      <c r="K22" s="40"/>
      <c r="L22" s="40"/>
      <c r="M22" s="50"/>
      <c r="N22" s="30"/>
      <c r="O22" s="52"/>
      <c r="W22" s="13"/>
      <c r="X22" s="13"/>
    </row>
    <row r="23" spans="1:24" ht="12.75">
      <c r="A23" s="39"/>
      <c r="B23" s="40"/>
      <c r="C23" s="59" t="s">
        <v>39</v>
      </c>
      <c r="D23" s="9">
        <f>5016*2</f>
        <v>10032</v>
      </c>
      <c r="E23" s="9">
        <v>765</v>
      </c>
      <c r="F23" s="9">
        <f>4150*2</f>
        <v>8300</v>
      </c>
      <c r="G23" s="30">
        <v>3321</v>
      </c>
      <c r="H23" s="44">
        <f>D23+E23+F23+G23</f>
        <v>22418</v>
      </c>
      <c r="I23" s="9">
        <v>10434</v>
      </c>
      <c r="J23" s="9">
        <v>765</v>
      </c>
      <c r="K23" s="9">
        <v>8800</v>
      </c>
      <c r="L23" s="30">
        <v>3321</v>
      </c>
      <c r="M23" s="44">
        <v>23320</v>
      </c>
      <c r="N23" s="9">
        <f>M23-H23</f>
        <v>902</v>
      </c>
      <c r="O23" s="31">
        <f>N23/H23</f>
        <v>0.040235525024533855</v>
      </c>
      <c r="W23" s="13"/>
      <c r="X23" s="13"/>
    </row>
    <row r="24" spans="1:24" ht="12.75">
      <c r="A24" s="39"/>
      <c r="B24" s="40"/>
      <c r="C24" s="59" t="s">
        <v>28</v>
      </c>
      <c r="D24" s="9">
        <f>5088*2</f>
        <v>10176</v>
      </c>
      <c r="E24" s="9">
        <v>765</v>
      </c>
      <c r="F24" s="9">
        <v>8300</v>
      </c>
      <c r="G24" s="30">
        <v>3321</v>
      </c>
      <c r="H24" s="44">
        <f>D24+E24+F24+G24</f>
        <v>22562</v>
      </c>
      <c r="I24" s="9">
        <v>10584</v>
      </c>
      <c r="J24" s="9">
        <v>765</v>
      </c>
      <c r="K24" s="9">
        <v>8800</v>
      </c>
      <c r="L24" s="30">
        <v>3321</v>
      </c>
      <c r="M24" s="44">
        <v>23470</v>
      </c>
      <c r="N24" s="9">
        <f>M24-H24</f>
        <v>908</v>
      </c>
      <c r="O24" s="31">
        <f>N24/H24</f>
        <v>0.04024465916142186</v>
      </c>
      <c r="W24" s="13"/>
      <c r="X24" s="13"/>
    </row>
    <row r="25" spans="1:24" ht="12.75">
      <c r="A25" s="39"/>
      <c r="B25" s="40"/>
      <c r="C25" s="59" t="s">
        <v>29</v>
      </c>
      <c r="D25" s="9">
        <f>5178*2</f>
        <v>10356</v>
      </c>
      <c r="E25" s="9">
        <v>765</v>
      </c>
      <c r="F25" s="9">
        <v>8300</v>
      </c>
      <c r="G25" s="30">
        <v>3321</v>
      </c>
      <c r="H25" s="44">
        <f>D25+E25+F25+G25</f>
        <v>22742</v>
      </c>
      <c r="I25" s="9">
        <v>10776</v>
      </c>
      <c r="J25" s="9">
        <v>765</v>
      </c>
      <c r="K25" s="9">
        <v>8800</v>
      </c>
      <c r="L25" s="30">
        <v>3321</v>
      </c>
      <c r="M25" s="44">
        <v>23662</v>
      </c>
      <c r="N25" s="9">
        <f>M25-H25</f>
        <v>920</v>
      </c>
      <c r="O25" s="31">
        <f>N25/H25</f>
        <v>0.04045378594670653</v>
      </c>
      <c r="W25" s="13"/>
      <c r="X25" s="13"/>
    </row>
    <row r="26" spans="1:24" ht="12.75">
      <c r="A26" s="39"/>
      <c r="B26" s="40"/>
      <c r="C26" s="59" t="s">
        <v>22</v>
      </c>
      <c r="D26" s="9">
        <f>5178*2</f>
        <v>10356</v>
      </c>
      <c r="E26" s="33">
        <v>765</v>
      </c>
      <c r="F26" s="9">
        <v>8300</v>
      </c>
      <c r="G26" s="30">
        <v>3321</v>
      </c>
      <c r="H26" s="45">
        <f>D26+E26+F26+G26</f>
        <v>22742</v>
      </c>
      <c r="I26" s="9">
        <v>10776</v>
      </c>
      <c r="J26" s="33">
        <v>765</v>
      </c>
      <c r="K26" s="9">
        <v>8800</v>
      </c>
      <c r="L26" s="30">
        <v>3321</v>
      </c>
      <c r="M26" s="45">
        <v>23662</v>
      </c>
      <c r="N26" s="33">
        <f>M26-H26</f>
        <v>920</v>
      </c>
      <c r="O26" s="35">
        <f>N26/H26</f>
        <v>0.04045378594670653</v>
      </c>
      <c r="W26" s="13"/>
      <c r="X26" s="13"/>
    </row>
    <row r="27" spans="1:24" ht="12.75">
      <c r="A27" s="46"/>
      <c r="B27" s="47" t="s">
        <v>3</v>
      </c>
      <c r="C27" s="60"/>
      <c r="D27" s="38"/>
      <c r="E27" s="9"/>
      <c r="F27" s="38"/>
      <c r="G27" s="56"/>
      <c r="H27" s="44"/>
      <c r="I27" s="38"/>
      <c r="J27" s="9"/>
      <c r="K27" s="38"/>
      <c r="L27" s="56"/>
      <c r="M27" s="44"/>
      <c r="N27" s="9"/>
      <c r="O27" s="31"/>
      <c r="W27" s="13"/>
      <c r="X27" s="13"/>
    </row>
    <row r="28" spans="1:24" ht="12.75">
      <c r="A28" s="39"/>
      <c r="B28" s="40"/>
      <c r="C28" s="59" t="s">
        <v>20</v>
      </c>
      <c r="D28" s="9">
        <f>5508*2</f>
        <v>11016</v>
      </c>
      <c r="E28" s="9">
        <v>765</v>
      </c>
      <c r="F28" s="9">
        <v>8901</v>
      </c>
      <c r="G28" s="30">
        <v>3321</v>
      </c>
      <c r="H28" s="44">
        <f>D28+E28+F28+G28</f>
        <v>24003</v>
      </c>
      <c r="I28" s="9">
        <v>11460</v>
      </c>
      <c r="J28" s="9">
        <v>765</v>
      </c>
      <c r="K28" s="9">
        <v>8910</v>
      </c>
      <c r="L28" s="30">
        <v>3321</v>
      </c>
      <c r="M28" s="44">
        <v>24456</v>
      </c>
      <c r="N28" s="9">
        <f>M28-H28</f>
        <v>453</v>
      </c>
      <c r="O28" s="31">
        <f>N28/H28</f>
        <v>0.018872640919885015</v>
      </c>
      <c r="W28" s="13"/>
      <c r="X28" s="13"/>
    </row>
    <row r="29" spans="1:24" ht="12.75">
      <c r="A29" s="39"/>
      <c r="B29" s="40"/>
      <c r="C29" s="59" t="s">
        <v>19</v>
      </c>
      <c r="D29" s="9">
        <f>5904*2</f>
        <v>11808</v>
      </c>
      <c r="E29" s="9">
        <v>765</v>
      </c>
      <c r="F29" s="9">
        <v>8901</v>
      </c>
      <c r="G29" s="30">
        <v>3321</v>
      </c>
      <c r="H29" s="44">
        <f>D29+E29+F29+G29</f>
        <v>24795</v>
      </c>
      <c r="I29" s="9">
        <v>12276</v>
      </c>
      <c r="J29" s="9">
        <v>765</v>
      </c>
      <c r="K29" s="9">
        <v>8910</v>
      </c>
      <c r="L29" s="30">
        <v>3321</v>
      </c>
      <c r="M29" s="44">
        <v>25272</v>
      </c>
      <c r="N29" s="9">
        <f>M29-H29</f>
        <v>477</v>
      </c>
      <c r="O29" s="31">
        <f>N29/H29</f>
        <v>0.019237749546279492</v>
      </c>
      <c r="W29" s="13"/>
      <c r="X29" s="13"/>
    </row>
    <row r="30" spans="1:24" ht="12.75">
      <c r="A30" s="39"/>
      <c r="B30" s="40"/>
      <c r="C30" s="59" t="s">
        <v>18</v>
      </c>
      <c r="D30" s="9">
        <f>5904*2</f>
        <v>11808</v>
      </c>
      <c r="E30" s="9">
        <v>765</v>
      </c>
      <c r="F30" s="9">
        <v>8901</v>
      </c>
      <c r="G30" s="30">
        <v>3321</v>
      </c>
      <c r="H30" s="44">
        <f>D30+E30+F30+G30</f>
        <v>24795</v>
      </c>
      <c r="I30" s="9">
        <v>12276</v>
      </c>
      <c r="J30" s="9">
        <v>765</v>
      </c>
      <c r="K30" s="9">
        <v>8910</v>
      </c>
      <c r="L30" s="30">
        <v>3321</v>
      </c>
      <c r="M30" s="44">
        <v>25272</v>
      </c>
      <c r="N30" s="9">
        <f>M30-H30</f>
        <v>477</v>
      </c>
      <c r="O30" s="31">
        <f>N30/H30</f>
        <v>0.019237749546279492</v>
      </c>
      <c r="W30" s="13"/>
      <c r="X30" s="13"/>
    </row>
    <row r="31" spans="1:24" ht="13.5" thickBot="1">
      <c r="A31" s="39"/>
      <c r="B31" s="40"/>
      <c r="C31" s="59" t="s">
        <v>21</v>
      </c>
      <c r="D31" s="9">
        <f>5904*2</f>
        <v>11808</v>
      </c>
      <c r="E31" s="9">
        <v>765</v>
      </c>
      <c r="F31" s="9">
        <v>8901</v>
      </c>
      <c r="G31" s="30">
        <v>3321</v>
      </c>
      <c r="H31" s="44">
        <f>D31+E31+F31+G31</f>
        <v>24795</v>
      </c>
      <c r="I31" s="9">
        <v>12276</v>
      </c>
      <c r="J31" s="9">
        <v>765</v>
      </c>
      <c r="K31" s="9">
        <v>8910</v>
      </c>
      <c r="L31" s="30">
        <v>3321</v>
      </c>
      <c r="M31" s="44">
        <v>25272</v>
      </c>
      <c r="N31" s="9">
        <f>M31-H31</f>
        <v>477</v>
      </c>
      <c r="O31" s="31">
        <f>N31/H31</f>
        <v>0.019237749546279492</v>
      </c>
      <c r="R31" s="17"/>
      <c r="W31" s="13"/>
      <c r="X31" s="13"/>
    </row>
    <row r="32" spans="1:24" ht="13.5" thickBot="1">
      <c r="A32" s="165" t="s">
        <v>46</v>
      </c>
      <c r="B32" s="166"/>
      <c r="C32" s="171"/>
      <c r="D32" s="166"/>
      <c r="E32" s="185"/>
      <c r="F32" s="168"/>
      <c r="G32" s="166"/>
      <c r="H32" s="173"/>
      <c r="I32" s="166"/>
      <c r="J32" s="185"/>
      <c r="K32" s="168"/>
      <c r="L32" s="166"/>
      <c r="M32" s="173"/>
      <c r="N32" s="168"/>
      <c r="O32" s="170"/>
      <c r="W32" s="13"/>
      <c r="X32" s="13"/>
    </row>
    <row r="33" spans="1:24" ht="12.75">
      <c r="A33" s="41"/>
      <c r="B33" s="42" t="s">
        <v>0</v>
      </c>
      <c r="C33" s="148"/>
      <c r="D33" s="41"/>
      <c r="E33" s="42"/>
      <c r="F33" s="49"/>
      <c r="G33" s="42"/>
      <c r="H33" s="107"/>
      <c r="I33" s="41"/>
      <c r="J33" s="42"/>
      <c r="K33" s="49"/>
      <c r="L33" s="42"/>
      <c r="M33" s="107"/>
      <c r="N33" s="49"/>
      <c r="O33" s="43"/>
      <c r="W33" s="13"/>
      <c r="X33" s="13"/>
    </row>
    <row r="34" spans="1:24" ht="12.75">
      <c r="A34" s="39"/>
      <c r="B34" s="40"/>
      <c r="C34" s="59" t="s">
        <v>14</v>
      </c>
      <c r="D34" s="29">
        <f>4974*2</f>
        <v>9948</v>
      </c>
      <c r="E34" s="9">
        <v>622.72</v>
      </c>
      <c r="F34" s="80">
        <v>10210</v>
      </c>
      <c r="G34" s="30">
        <v>3321</v>
      </c>
      <c r="H34" s="44">
        <f>SUM(D34,E34:G34)</f>
        <v>24101.72</v>
      </c>
      <c r="I34" s="29">
        <f>5223*2</f>
        <v>10446</v>
      </c>
      <c r="J34" s="9">
        <v>662.86</v>
      </c>
      <c r="K34" s="80">
        <v>10590</v>
      </c>
      <c r="L34" s="30">
        <v>3321</v>
      </c>
      <c r="M34" s="44">
        <f>SUM(I34,J34:L34)</f>
        <v>25019.86</v>
      </c>
      <c r="N34" s="9">
        <f>M34-H34</f>
        <v>918.1399999999994</v>
      </c>
      <c r="O34" s="31">
        <f>N34/H34</f>
        <v>0.038094376666893456</v>
      </c>
      <c r="P34" s="18"/>
      <c r="W34" s="13"/>
      <c r="X34" s="13"/>
    </row>
    <row r="35" spans="1:24" ht="12.75">
      <c r="A35" s="39"/>
      <c r="B35" s="40"/>
      <c r="C35" s="59" t="s">
        <v>33</v>
      </c>
      <c r="D35" s="29">
        <f>4974*2</f>
        <v>9948</v>
      </c>
      <c r="E35" s="33">
        <v>622.72</v>
      </c>
      <c r="F35" s="104">
        <v>10210</v>
      </c>
      <c r="G35" s="30">
        <v>3321</v>
      </c>
      <c r="H35" s="45">
        <f>SUM(D35,E35:G35)</f>
        <v>24101.72</v>
      </c>
      <c r="I35" s="29">
        <f>5223*2</f>
        <v>10446</v>
      </c>
      <c r="J35" s="33">
        <v>662.86</v>
      </c>
      <c r="K35" s="104">
        <v>10590</v>
      </c>
      <c r="L35" s="30">
        <v>3321</v>
      </c>
      <c r="M35" s="45">
        <f>SUM(I35,J35:L35)</f>
        <v>25019.86</v>
      </c>
      <c r="N35" s="33">
        <f>M35-H35</f>
        <v>918.1399999999994</v>
      </c>
      <c r="O35" s="35">
        <f>N35/H35</f>
        <v>0.038094376666893456</v>
      </c>
      <c r="P35" s="18"/>
      <c r="W35" s="13"/>
      <c r="X35" s="13"/>
    </row>
    <row r="36" spans="1:24" ht="12.75">
      <c r="A36" s="46"/>
      <c r="B36" s="47" t="s">
        <v>3</v>
      </c>
      <c r="C36" s="60"/>
      <c r="D36" s="147"/>
      <c r="E36" s="9"/>
      <c r="F36" s="10"/>
      <c r="G36" s="111"/>
      <c r="H36" s="44"/>
      <c r="I36" s="147"/>
      <c r="J36" s="9"/>
      <c r="K36" s="10"/>
      <c r="L36" s="111"/>
      <c r="M36" s="44"/>
      <c r="N36" s="9"/>
      <c r="O36" s="31"/>
      <c r="P36" s="18"/>
      <c r="W36" s="13"/>
      <c r="X36" s="13"/>
    </row>
    <row r="37" spans="1:24" ht="12.75">
      <c r="A37" s="39"/>
      <c r="B37" s="40"/>
      <c r="C37" s="59" t="s">
        <v>8</v>
      </c>
      <c r="D37" s="29">
        <f>6522*2</f>
        <v>13044</v>
      </c>
      <c r="E37" s="9">
        <v>622.72</v>
      </c>
      <c r="F37" s="9">
        <v>8901</v>
      </c>
      <c r="G37" s="30">
        <v>3321</v>
      </c>
      <c r="H37" s="44">
        <f aca="true" t="shared" si="4" ref="H37:H43">SUM(D37,E37:G37)</f>
        <v>25888.72</v>
      </c>
      <c r="I37" s="29">
        <f>6720*2</f>
        <v>13440</v>
      </c>
      <c r="J37" s="9">
        <v>662.86</v>
      </c>
      <c r="K37" s="9">
        <v>8910</v>
      </c>
      <c r="L37" s="30">
        <v>3321</v>
      </c>
      <c r="M37" s="44">
        <f aca="true" t="shared" si="5" ref="M37:M43">SUM(I37,J37:L37)</f>
        <v>26333.86</v>
      </c>
      <c r="N37" s="9">
        <f aca="true" t="shared" si="6" ref="N37:N43">M37-H37</f>
        <v>445.1399999999994</v>
      </c>
      <c r="O37" s="31">
        <f aca="true" t="shared" si="7" ref="O37:O43">N37/H37</f>
        <v>0.017194361096261206</v>
      </c>
      <c r="P37" s="18"/>
      <c r="W37" s="13"/>
      <c r="X37" s="13"/>
    </row>
    <row r="38" spans="1:24" ht="12.75">
      <c r="A38" s="39"/>
      <c r="B38" s="40"/>
      <c r="C38" s="112" t="s">
        <v>9</v>
      </c>
      <c r="D38" s="29">
        <f>6960*2</f>
        <v>13920</v>
      </c>
      <c r="E38" s="9">
        <v>622.72</v>
      </c>
      <c r="F38" s="9">
        <v>8901</v>
      </c>
      <c r="G38" s="30">
        <v>3321</v>
      </c>
      <c r="H38" s="44">
        <f t="shared" si="4"/>
        <v>26764.72</v>
      </c>
      <c r="I38" s="29">
        <f>7170*2</f>
        <v>14340</v>
      </c>
      <c r="J38" s="9">
        <v>662.86</v>
      </c>
      <c r="K38" s="9">
        <v>8910</v>
      </c>
      <c r="L38" s="30">
        <v>3321</v>
      </c>
      <c r="M38" s="44">
        <f t="shared" si="5"/>
        <v>27233.86</v>
      </c>
      <c r="N38" s="9">
        <f t="shared" si="6"/>
        <v>469.1399999999994</v>
      </c>
      <c r="O38" s="31">
        <f t="shared" si="7"/>
        <v>0.017528298446611787</v>
      </c>
      <c r="P38" s="18"/>
      <c r="W38" s="13"/>
      <c r="X38" s="13"/>
    </row>
    <row r="39" spans="1:24" ht="14.25">
      <c r="A39" s="39"/>
      <c r="B39" s="40"/>
      <c r="C39" s="16" t="s">
        <v>61</v>
      </c>
      <c r="D39" s="29">
        <f>6960*2</f>
        <v>13920</v>
      </c>
      <c r="E39" s="9">
        <v>622.72</v>
      </c>
      <c r="F39" s="9">
        <v>8901</v>
      </c>
      <c r="G39" s="30">
        <v>3321</v>
      </c>
      <c r="H39" s="44">
        <f t="shared" si="4"/>
        <v>26764.72</v>
      </c>
      <c r="I39" s="29">
        <f>7170*2</f>
        <v>14340</v>
      </c>
      <c r="J39" s="9">
        <v>662.86</v>
      </c>
      <c r="K39" s="9">
        <v>8910</v>
      </c>
      <c r="L39" s="30">
        <v>3321</v>
      </c>
      <c r="M39" s="44">
        <f t="shared" si="5"/>
        <v>27233.86</v>
      </c>
      <c r="N39" s="9">
        <f t="shared" si="6"/>
        <v>469.1399999999994</v>
      </c>
      <c r="O39" s="31">
        <f t="shared" si="7"/>
        <v>0.017528298446611787</v>
      </c>
      <c r="P39" s="18"/>
      <c r="W39" s="13"/>
      <c r="X39" s="13"/>
    </row>
    <row r="40" spans="1:24" ht="12.75">
      <c r="A40" s="39"/>
      <c r="B40" s="40"/>
      <c r="C40" s="40" t="s">
        <v>35</v>
      </c>
      <c r="D40" s="29">
        <f>6960*2</f>
        <v>13920</v>
      </c>
      <c r="E40" s="9">
        <v>622.72</v>
      </c>
      <c r="F40" s="9">
        <v>8901</v>
      </c>
      <c r="G40" s="30">
        <v>3321</v>
      </c>
      <c r="H40" s="44">
        <f t="shared" si="4"/>
        <v>26764.72</v>
      </c>
      <c r="I40" s="29">
        <f>7170*2</f>
        <v>14340</v>
      </c>
      <c r="J40" s="9">
        <v>662.86</v>
      </c>
      <c r="K40" s="9">
        <v>8910</v>
      </c>
      <c r="L40" s="30">
        <v>3321</v>
      </c>
      <c r="M40" s="44">
        <f t="shared" si="5"/>
        <v>27233.86</v>
      </c>
      <c r="N40" s="9">
        <f t="shared" si="6"/>
        <v>469.1399999999994</v>
      </c>
      <c r="O40" s="31">
        <f t="shared" si="7"/>
        <v>0.017528298446611787</v>
      </c>
      <c r="P40" s="18"/>
      <c r="W40" s="13"/>
      <c r="X40" s="13"/>
    </row>
    <row r="41" spans="1:24" ht="12.75">
      <c r="A41" s="39"/>
      <c r="B41" s="40"/>
      <c r="C41" s="59" t="s">
        <v>10</v>
      </c>
      <c r="D41" s="29">
        <f>6960*2</f>
        <v>13920</v>
      </c>
      <c r="E41" s="9">
        <v>622.72</v>
      </c>
      <c r="F41" s="9">
        <v>8901</v>
      </c>
      <c r="G41" s="30">
        <v>3321</v>
      </c>
      <c r="H41" s="44">
        <f t="shared" si="4"/>
        <v>26764.72</v>
      </c>
      <c r="I41" s="29">
        <f>7170*2</f>
        <v>14340</v>
      </c>
      <c r="J41" s="9">
        <v>662.86</v>
      </c>
      <c r="K41" s="9">
        <v>8910</v>
      </c>
      <c r="L41" s="30">
        <v>3321</v>
      </c>
      <c r="M41" s="44">
        <f t="shared" si="5"/>
        <v>27233.86</v>
      </c>
      <c r="N41" s="9">
        <f t="shared" si="6"/>
        <v>469.1399999999994</v>
      </c>
      <c r="O41" s="31">
        <f t="shared" si="7"/>
        <v>0.017528298446611787</v>
      </c>
      <c r="P41" s="18"/>
      <c r="W41" s="13"/>
      <c r="X41" s="13"/>
    </row>
    <row r="42" spans="1:24" ht="12.75">
      <c r="A42" s="39"/>
      <c r="B42" s="40"/>
      <c r="C42" s="59" t="s">
        <v>7</v>
      </c>
      <c r="D42" s="29">
        <f>6960*2</f>
        <v>13920</v>
      </c>
      <c r="E42" s="9">
        <v>622.72</v>
      </c>
      <c r="F42" s="9">
        <v>8901</v>
      </c>
      <c r="G42" s="30">
        <v>3321</v>
      </c>
      <c r="H42" s="44">
        <f t="shared" si="4"/>
        <v>26764.72</v>
      </c>
      <c r="I42" s="29">
        <f>7170*2</f>
        <v>14340</v>
      </c>
      <c r="J42" s="9">
        <v>662.86</v>
      </c>
      <c r="K42" s="9">
        <v>8910</v>
      </c>
      <c r="L42" s="30">
        <v>3321</v>
      </c>
      <c r="M42" s="44">
        <f t="shared" si="5"/>
        <v>27233.86</v>
      </c>
      <c r="N42" s="9">
        <f t="shared" si="6"/>
        <v>469.1399999999994</v>
      </c>
      <c r="O42" s="31">
        <f t="shared" si="7"/>
        <v>0.017528298446611787</v>
      </c>
      <c r="P42" s="18"/>
      <c r="W42" s="13"/>
      <c r="X42" s="13"/>
    </row>
    <row r="43" spans="1:24" ht="13.5" thickBot="1">
      <c r="A43" s="109"/>
      <c r="B43" s="87"/>
      <c r="C43" s="150" t="s">
        <v>30</v>
      </c>
      <c r="D43" s="81">
        <f>7086*2</f>
        <v>14172</v>
      </c>
      <c r="E43" s="36">
        <v>622.72</v>
      </c>
      <c r="F43" s="36">
        <v>8901</v>
      </c>
      <c r="G43" s="37">
        <v>3321</v>
      </c>
      <c r="H43" s="55">
        <f t="shared" si="4"/>
        <v>27016.72</v>
      </c>
      <c r="I43" s="81">
        <f>7296*2</f>
        <v>14592</v>
      </c>
      <c r="J43" s="36">
        <v>662.86</v>
      </c>
      <c r="K43" s="36">
        <v>8910</v>
      </c>
      <c r="L43" s="37">
        <v>3321</v>
      </c>
      <c r="M43" s="55">
        <f t="shared" si="5"/>
        <v>27485.86</v>
      </c>
      <c r="N43" s="36">
        <f t="shared" si="6"/>
        <v>469.1399999999994</v>
      </c>
      <c r="O43" s="106">
        <f t="shared" si="7"/>
        <v>0.0173648022409826</v>
      </c>
      <c r="P43" s="18"/>
      <c r="W43" s="13"/>
      <c r="X43" s="13"/>
    </row>
    <row r="44" spans="1:24" ht="13.5" thickBot="1">
      <c r="A44" s="165" t="s">
        <v>47</v>
      </c>
      <c r="B44" s="166"/>
      <c r="C44" s="171"/>
      <c r="D44" s="174"/>
      <c r="E44" s="166"/>
      <c r="F44" s="186"/>
      <c r="G44" s="166"/>
      <c r="H44" s="169"/>
      <c r="I44" s="174"/>
      <c r="J44" s="166"/>
      <c r="K44" s="186"/>
      <c r="L44" s="166"/>
      <c r="M44" s="169"/>
      <c r="N44" s="168"/>
      <c r="O44" s="170"/>
      <c r="W44" s="13"/>
      <c r="X44" s="13"/>
    </row>
    <row r="45" spans="1:24" ht="12.75">
      <c r="A45" s="39"/>
      <c r="B45" s="40" t="s">
        <v>0</v>
      </c>
      <c r="C45" s="40"/>
      <c r="D45" s="39"/>
      <c r="E45" s="40"/>
      <c r="F45" s="130"/>
      <c r="G45" s="40"/>
      <c r="H45" s="79"/>
      <c r="I45" s="39"/>
      <c r="J45" s="40"/>
      <c r="K45" s="130"/>
      <c r="L45" s="40"/>
      <c r="M45" s="79"/>
      <c r="N45" s="40"/>
      <c r="O45" s="52"/>
      <c r="W45" s="13"/>
      <c r="X45" s="13"/>
    </row>
    <row r="46" spans="1:24" ht="12.75">
      <c r="A46" s="39"/>
      <c r="B46" s="40"/>
      <c r="C46" s="40" t="s">
        <v>13</v>
      </c>
      <c r="D46" s="110">
        <f>4914*2</f>
        <v>9828</v>
      </c>
      <c r="E46" s="9">
        <v>266.7</v>
      </c>
      <c r="F46" s="10">
        <v>8901</v>
      </c>
      <c r="G46" s="30">
        <v>3321</v>
      </c>
      <c r="H46" s="115">
        <f>SUM(D46,E46:G46)</f>
        <v>22316.7</v>
      </c>
      <c r="I46" s="110">
        <v>9828</v>
      </c>
      <c r="J46" s="9">
        <v>266.7</v>
      </c>
      <c r="K46" s="10">
        <v>8910</v>
      </c>
      <c r="L46" s="30">
        <v>3321</v>
      </c>
      <c r="M46" s="115">
        <f>SUM(I46,J46:L46)</f>
        <v>22325.7</v>
      </c>
      <c r="N46" s="10">
        <f>M46-H46</f>
        <v>9</v>
      </c>
      <c r="O46" s="143">
        <f>N46/H46</f>
        <v>0.00040328543198591186</v>
      </c>
      <c r="W46" s="13"/>
      <c r="X46" s="13"/>
    </row>
    <row r="47" spans="1:24" ht="12.75">
      <c r="A47" s="39"/>
      <c r="B47" s="40"/>
      <c r="C47" s="95" t="s">
        <v>56</v>
      </c>
      <c r="D47" s="131">
        <f>2850*2</f>
        <v>5700</v>
      </c>
      <c r="E47" s="33">
        <v>266.7</v>
      </c>
      <c r="F47" s="10">
        <v>8901</v>
      </c>
      <c r="G47" s="30">
        <v>3321</v>
      </c>
      <c r="H47" s="132">
        <f>SUM(D47,E47:G47)</f>
        <v>18188.7</v>
      </c>
      <c r="I47" s="131">
        <v>5700</v>
      </c>
      <c r="J47" s="33">
        <v>266.7</v>
      </c>
      <c r="K47" s="10">
        <v>8910</v>
      </c>
      <c r="L47" s="30">
        <v>3321</v>
      </c>
      <c r="M47" s="132">
        <f>SUM(I47,J47:L47)</f>
        <v>18197.7</v>
      </c>
      <c r="N47" s="133">
        <f>M47-H47</f>
        <v>9</v>
      </c>
      <c r="O47" s="144">
        <f>N47/H47</f>
        <v>0.0004948127133879827</v>
      </c>
      <c r="W47" s="13"/>
      <c r="X47" s="13"/>
    </row>
    <row r="48" spans="1:24" ht="12.75">
      <c r="A48" s="46"/>
      <c r="B48" s="47" t="s">
        <v>3</v>
      </c>
      <c r="C48" s="47"/>
      <c r="D48" s="134"/>
      <c r="E48" s="9"/>
      <c r="F48" s="111"/>
      <c r="G48" s="111"/>
      <c r="H48" s="115"/>
      <c r="I48" s="134"/>
      <c r="J48" s="9"/>
      <c r="K48" s="111"/>
      <c r="L48" s="111"/>
      <c r="M48" s="115"/>
      <c r="N48" s="10"/>
      <c r="O48" s="143"/>
      <c r="W48" s="13"/>
      <c r="X48" s="13"/>
    </row>
    <row r="49" spans="1:24" ht="12.75">
      <c r="A49" s="39"/>
      <c r="B49" s="40"/>
      <c r="C49" s="40" t="s">
        <v>57</v>
      </c>
      <c r="D49" s="110">
        <f>4638*2</f>
        <v>9276</v>
      </c>
      <c r="E49" s="9">
        <v>266.7</v>
      </c>
      <c r="F49" s="10">
        <v>8901</v>
      </c>
      <c r="G49" s="30">
        <v>3321</v>
      </c>
      <c r="H49" s="115">
        <f aca="true" t="shared" si="8" ref="H49:H56">SUM(D49,E49:G49)</f>
        <v>21764.7</v>
      </c>
      <c r="I49" s="110">
        <v>9276</v>
      </c>
      <c r="J49" s="9">
        <v>266.7</v>
      </c>
      <c r="K49" s="10">
        <v>8910</v>
      </c>
      <c r="L49" s="30">
        <v>3321</v>
      </c>
      <c r="M49" s="115">
        <f aca="true" t="shared" si="9" ref="M49:M60">SUM(I49,J49:L49)</f>
        <v>21773.7</v>
      </c>
      <c r="N49" s="10">
        <f aca="true" t="shared" si="10" ref="N49:N56">M49-H49</f>
        <v>9</v>
      </c>
      <c r="O49" s="143">
        <f aca="true" t="shared" si="11" ref="O49:O56">N49/H49</f>
        <v>0.00041351362527395274</v>
      </c>
      <c r="Q49" s="23"/>
      <c r="W49" s="13"/>
      <c r="X49" s="13"/>
    </row>
    <row r="50" spans="1:24" ht="12.75">
      <c r="A50" s="39"/>
      <c r="B50" s="40"/>
      <c r="C50" s="40" t="s">
        <v>31</v>
      </c>
      <c r="D50" s="110">
        <f>3822*2</f>
        <v>7644</v>
      </c>
      <c r="E50" s="9">
        <v>266.7</v>
      </c>
      <c r="F50" s="10">
        <v>8901</v>
      </c>
      <c r="G50" s="30">
        <v>3321</v>
      </c>
      <c r="H50" s="115">
        <f t="shared" si="8"/>
        <v>20132.7</v>
      </c>
      <c r="I50" s="110">
        <v>8028</v>
      </c>
      <c r="J50" s="9">
        <v>266.7</v>
      </c>
      <c r="K50" s="10">
        <v>8910</v>
      </c>
      <c r="L50" s="30">
        <v>3321</v>
      </c>
      <c r="M50" s="115">
        <f t="shared" si="9"/>
        <v>20525.7</v>
      </c>
      <c r="N50" s="10">
        <f t="shared" si="10"/>
        <v>393</v>
      </c>
      <c r="O50" s="143">
        <f t="shared" si="11"/>
        <v>0.019520481604553785</v>
      </c>
      <c r="Q50" s="23"/>
      <c r="W50" s="13"/>
      <c r="X50" s="13"/>
    </row>
    <row r="51" spans="1:24" ht="12.75">
      <c r="A51" s="39"/>
      <c r="B51" s="40"/>
      <c r="C51" s="40" t="s">
        <v>48</v>
      </c>
      <c r="D51" s="110">
        <f>6912*2</f>
        <v>13824</v>
      </c>
      <c r="E51" s="9">
        <v>266.7</v>
      </c>
      <c r="F51" s="10">
        <v>8901</v>
      </c>
      <c r="G51" s="30">
        <v>3321</v>
      </c>
      <c r="H51" s="115">
        <f t="shared" si="8"/>
        <v>26312.7</v>
      </c>
      <c r="I51" s="110">
        <v>14580</v>
      </c>
      <c r="J51" s="9">
        <v>266.7</v>
      </c>
      <c r="K51" s="10">
        <v>8910</v>
      </c>
      <c r="L51" s="30">
        <v>3321</v>
      </c>
      <c r="M51" s="115">
        <f t="shared" si="9"/>
        <v>27077.7</v>
      </c>
      <c r="N51" s="10">
        <f t="shared" si="10"/>
        <v>765</v>
      </c>
      <c r="O51" s="143">
        <f t="shared" si="11"/>
        <v>0.029073413218711874</v>
      </c>
      <c r="Q51" s="23"/>
      <c r="W51" s="13"/>
      <c r="X51" s="13"/>
    </row>
    <row r="52" spans="1:24" ht="12.75">
      <c r="A52" s="39"/>
      <c r="B52" s="40"/>
      <c r="C52" s="40" t="s">
        <v>49</v>
      </c>
      <c r="D52" s="110">
        <f>6072*2</f>
        <v>12144</v>
      </c>
      <c r="E52" s="9">
        <v>266.7</v>
      </c>
      <c r="F52" s="10">
        <v>8901</v>
      </c>
      <c r="G52" s="30">
        <v>3321</v>
      </c>
      <c r="H52" s="115">
        <f t="shared" si="8"/>
        <v>24632.7</v>
      </c>
      <c r="I52" s="110">
        <v>12816</v>
      </c>
      <c r="J52" s="9">
        <v>266.7</v>
      </c>
      <c r="K52" s="10">
        <v>8910</v>
      </c>
      <c r="L52" s="30">
        <v>3321</v>
      </c>
      <c r="M52" s="115">
        <f t="shared" si="9"/>
        <v>25313.7</v>
      </c>
      <c r="N52" s="10">
        <f t="shared" si="10"/>
        <v>681</v>
      </c>
      <c r="O52" s="143">
        <f t="shared" si="11"/>
        <v>0.027646177641915015</v>
      </c>
      <c r="Q52" s="23"/>
      <c r="W52" s="13"/>
      <c r="X52" s="13"/>
    </row>
    <row r="53" spans="1:24" ht="12.75">
      <c r="A53" s="39"/>
      <c r="B53" s="40"/>
      <c r="C53" s="16" t="s">
        <v>62</v>
      </c>
      <c r="D53" s="110">
        <f>6072*2</f>
        <v>12144</v>
      </c>
      <c r="E53" s="9">
        <v>266.7</v>
      </c>
      <c r="F53" s="10">
        <v>8901</v>
      </c>
      <c r="G53" s="30">
        <v>3321</v>
      </c>
      <c r="H53" s="115">
        <f t="shared" si="8"/>
        <v>24632.7</v>
      </c>
      <c r="I53" s="110">
        <v>12816</v>
      </c>
      <c r="J53" s="9">
        <v>266.7</v>
      </c>
      <c r="K53" s="10">
        <v>8910</v>
      </c>
      <c r="L53" s="30">
        <v>3321</v>
      </c>
      <c r="M53" s="115">
        <f t="shared" si="9"/>
        <v>25313.7</v>
      </c>
      <c r="N53" s="10">
        <f t="shared" si="10"/>
        <v>681</v>
      </c>
      <c r="O53" s="143">
        <f t="shared" si="11"/>
        <v>0.027646177641915015</v>
      </c>
      <c r="Q53" s="23"/>
      <c r="W53" s="13"/>
      <c r="X53" s="13"/>
    </row>
    <row r="54" spans="1:24" ht="12.75">
      <c r="A54" s="39"/>
      <c r="B54" s="40"/>
      <c r="C54" s="16" t="s">
        <v>63</v>
      </c>
      <c r="D54" s="110">
        <f>6912*2</f>
        <v>13824</v>
      </c>
      <c r="E54" s="9">
        <v>266.7</v>
      </c>
      <c r="F54" s="80">
        <v>8901</v>
      </c>
      <c r="G54" s="30">
        <v>3321</v>
      </c>
      <c r="H54" s="115">
        <f t="shared" si="8"/>
        <v>26312.7</v>
      </c>
      <c r="I54" s="110">
        <v>14580</v>
      </c>
      <c r="J54" s="9">
        <v>266.7</v>
      </c>
      <c r="K54" s="80">
        <v>8910</v>
      </c>
      <c r="L54" s="30">
        <v>3321</v>
      </c>
      <c r="M54" s="115">
        <f t="shared" si="9"/>
        <v>27077.7</v>
      </c>
      <c r="N54" s="10">
        <f t="shared" si="10"/>
        <v>765</v>
      </c>
      <c r="O54" s="143">
        <f t="shared" si="11"/>
        <v>0.029073413218711874</v>
      </c>
      <c r="Q54" s="23"/>
      <c r="W54" s="13"/>
      <c r="X54" s="13"/>
    </row>
    <row r="55" spans="1:24" ht="12.75">
      <c r="A55" s="39"/>
      <c r="B55" s="40"/>
      <c r="C55" s="40" t="s">
        <v>27</v>
      </c>
      <c r="D55" s="110">
        <f>6216*2</f>
        <v>12432</v>
      </c>
      <c r="E55" s="9">
        <v>266.7</v>
      </c>
      <c r="F55" s="10">
        <v>8901</v>
      </c>
      <c r="G55" s="30">
        <v>3321</v>
      </c>
      <c r="H55" s="115">
        <f t="shared" si="8"/>
        <v>24920.7</v>
      </c>
      <c r="I55" s="110">
        <v>13056</v>
      </c>
      <c r="J55" s="9">
        <v>266.7</v>
      </c>
      <c r="K55" s="10">
        <v>8910</v>
      </c>
      <c r="L55" s="30">
        <v>3321</v>
      </c>
      <c r="M55" s="115">
        <f t="shared" si="9"/>
        <v>25553.7</v>
      </c>
      <c r="N55" s="10">
        <f t="shared" si="10"/>
        <v>633</v>
      </c>
      <c r="O55" s="143">
        <f t="shared" si="11"/>
        <v>0.02540057060997484</v>
      </c>
      <c r="Q55" s="23"/>
      <c r="W55" s="13"/>
      <c r="X55" s="13"/>
    </row>
    <row r="56" spans="1:24" ht="12.75">
      <c r="A56" s="39"/>
      <c r="B56" s="40"/>
      <c r="C56" s="40" t="s">
        <v>64</v>
      </c>
      <c r="D56" s="110">
        <f>6150*2</f>
        <v>12300</v>
      </c>
      <c r="E56" s="9">
        <v>266.7</v>
      </c>
      <c r="F56" s="10">
        <v>8901</v>
      </c>
      <c r="G56" s="30">
        <v>3321</v>
      </c>
      <c r="H56" s="115">
        <f t="shared" si="8"/>
        <v>24788.7</v>
      </c>
      <c r="I56" s="110">
        <v>12300</v>
      </c>
      <c r="J56" s="9">
        <v>266.7</v>
      </c>
      <c r="K56" s="10">
        <v>8910</v>
      </c>
      <c r="L56" s="30">
        <v>3321</v>
      </c>
      <c r="M56" s="115">
        <f t="shared" si="9"/>
        <v>24797.7</v>
      </c>
      <c r="N56" s="10">
        <f t="shared" si="10"/>
        <v>9</v>
      </c>
      <c r="O56" s="143">
        <f t="shared" si="11"/>
        <v>0.0003630686562829031</v>
      </c>
      <c r="Q56" s="23"/>
      <c r="W56" s="13"/>
      <c r="X56" s="13"/>
    </row>
    <row r="57" spans="1:24" ht="14.25">
      <c r="A57" s="39"/>
      <c r="B57" s="40"/>
      <c r="C57" s="40" t="s">
        <v>60</v>
      </c>
      <c r="D57" s="110"/>
      <c r="E57" s="9"/>
      <c r="F57" s="10"/>
      <c r="G57" s="30"/>
      <c r="H57" s="115"/>
      <c r="I57" s="110">
        <v>8040</v>
      </c>
      <c r="J57" s="9">
        <v>266.7</v>
      </c>
      <c r="K57" s="10">
        <v>8910</v>
      </c>
      <c r="L57" s="30">
        <v>3321</v>
      </c>
      <c r="M57" s="115">
        <f t="shared" si="9"/>
        <v>20537.7</v>
      </c>
      <c r="N57" s="93" t="s">
        <v>54</v>
      </c>
      <c r="O57" s="94" t="s">
        <v>54</v>
      </c>
      <c r="Q57" s="23"/>
      <c r="W57" s="13"/>
      <c r="X57" s="13"/>
    </row>
    <row r="58" spans="1:24" ht="12.75">
      <c r="A58" s="39"/>
      <c r="B58" s="40"/>
      <c r="C58" s="16" t="s">
        <v>50</v>
      </c>
      <c r="D58" s="110">
        <f>5940*2</f>
        <v>11880</v>
      </c>
      <c r="E58" s="9">
        <v>266.7</v>
      </c>
      <c r="F58" s="10">
        <v>8901</v>
      </c>
      <c r="G58" s="30">
        <v>3321</v>
      </c>
      <c r="H58" s="115">
        <f>SUM(D58,E58:G58)</f>
        <v>24368.7</v>
      </c>
      <c r="I58" s="110">
        <v>11880</v>
      </c>
      <c r="J58" s="9">
        <v>266.7</v>
      </c>
      <c r="K58" s="10">
        <v>8910</v>
      </c>
      <c r="L58" s="30">
        <v>3321</v>
      </c>
      <c r="M58" s="115">
        <f t="shared" si="9"/>
        <v>24377.7</v>
      </c>
      <c r="N58" s="10">
        <f>M58-H58</f>
        <v>9</v>
      </c>
      <c r="O58" s="143">
        <f>N58/H58</f>
        <v>0.00036932622585529796</v>
      </c>
      <c r="Q58" s="23"/>
      <c r="W58" s="13"/>
      <c r="X58" s="13"/>
    </row>
    <row r="59" spans="1:24" ht="12.75">
      <c r="A59" s="39"/>
      <c r="B59" s="40"/>
      <c r="C59" s="16" t="s">
        <v>51</v>
      </c>
      <c r="D59" s="110">
        <f>5940*2</f>
        <v>11880</v>
      </c>
      <c r="E59" s="9">
        <v>266.7</v>
      </c>
      <c r="F59" s="80">
        <v>8901</v>
      </c>
      <c r="G59" s="30">
        <v>3321</v>
      </c>
      <c r="H59" s="115">
        <f>SUM(D59,E59:G59)</f>
        <v>24368.7</v>
      </c>
      <c r="I59" s="110">
        <v>11880</v>
      </c>
      <c r="J59" s="9">
        <v>266.7</v>
      </c>
      <c r="K59" s="80">
        <v>8910</v>
      </c>
      <c r="L59" s="30">
        <v>3321</v>
      </c>
      <c r="M59" s="115">
        <f t="shared" si="9"/>
        <v>24377.7</v>
      </c>
      <c r="N59" s="10">
        <f>M59-H59</f>
        <v>9</v>
      </c>
      <c r="O59" s="143">
        <f>N59/H59</f>
        <v>0.00036932622585529796</v>
      </c>
      <c r="Q59" s="23"/>
      <c r="W59" s="13"/>
      <c r="X59" s="13"/>
    </row>
    <row r="60" spans="1:24" ht="14.25">
      <c r="A60" s="39"/>
      <c r="B60" s="40"/>
      <c r="C60" s="16" t="s">
        <v>58</v>
      </c>
      <c r="D60" s="131">
        <f>3678*2</f>
        <v>7356</v>
      </c>
      <c r="E60" s="33">
        <v>266.7</v>
      </c>
      <c r="F60" s="133">
        <v>8901</v>
      </c>
      <c r="G60" s="34">
        <v>3321</v>
      </c>
      <c r="H60" s="132">
        <f>SUM(D60,E60:G60)</f>
        <v>19844.7</v>
      </c>
      <c r="I60" s="131">
        <f>3786*2</f>
        <v>7572</v>
      </c>
      <c r="J60" s="33">
        <v>266.7</v>
      </c>
      <c r="K60" s="133">
        <v>8910</v>
      </c>
      <c r="L60" s="34">
        <v>3321</v>
      </c>
      <c r="M60" s="132">
        <f t="shared" si="9"/>
        <v>20069.7</v>
      </c>
      <c r="N60" s="133">
        <f>M60-H60</f>
        <v>225</v>
      </c>
      <c r="O60" s="144">
        <f>N60/H60</f>
        <v>0.011338039879665604</v>
      </c>
      <c r="W60" s="13"/>
      <c r="X60" s="13"/>
    </row>
    <row r="61" spans="1:24" ht="12.75">
      <c r="A61" s="46"/>
      <c r="B61" s="47" t="s">
        <v>11</v>
      </c>
      <c r="C61" s="47"/>
      <c r="D61" s="136"/>
      <c r="E61" s="137"/>
      <c r="F61" s="137"/>
      <c r="G61" s="138"/>
      <c r="H61" s="126"/>
      <c r="I61" s="136"/>
      <c r="J61" s="137"/>
      <c r="K61" s="137"/>
      <c r="L61" s="138"/>
      <c r="M61" s="126"/>
      <c r="N61" s="138"/>
      <c r="O61" s="135"/>
      <c r="W61" s="13"/>
      <c r="X61" s="13"/>
    </row>
    <row r="62" spans="1:24" ht="12.75">
      <c r="A62" s="39"/>
      <c r="B62" s="40"/>
      <c r="C62" s="16" t="s">
        <v>52</v>
      </c>
      <c r="D62" s="93" t="s">
        <v>54</v>
      </c>
      <c r="E62" s="125" t="s">
        <v>54</v>
      </c>
      <c r="F62" s="125" t="s">
        <v>54</v>
      </c>
      <c r="G62" s="125" t="s">
        <v>54</v>
      </c>
      <c r="H62" s="126" t="s">
        <v>54</v>
      </c>
      <c r="I62" s="125" t="s">
        <v>54</v>
      </c>
      <c r="J62" s="125" t="s">
        <v>54</v>
      </c>
      <c r="K62" s="125" t="s">
        <v>54</v>
      </c>
      <c r="L62" s="125" t="s">
        <v>54</v>
      </c>
      <c r="M62" s="126" t="s">
        <v>54</v>
      </c>
      <c r="N62" s="114" t="s">
        <v>54</v>
      </c>
      <c r="O62" s="94" t="s">
        <v>54</v>
      </c>
      <c r="W62" s="13"/>
      <c r="X62" s="13"/>
    </row>
    <row r="63" spans="1:24" ht="12.75">
      <c r="A63" s="39"/>
      <c r="B63" s="40"/>
      <c r="C63" s="16" t="s">
        <v>53</v>
      </c>
      <c r="D63" s="93" t="s">
        <v>54</v>
      </c>
      <c r="E63" s="125" t="s">
        <v>54</v>
      </c>
      <c r="F63" s="125" t="s">
        <v>54</v>
      </c>
      <c r="G63" s="125" t="s">
        <v>54</v>
      </c>
      <c r="H63" s="126" t="s">
        <v>54</v>
      </c>
      <c r="I63" s="125" t="s">
        <v>54</v>
      </c>
      <c r="J63" s="125" t="s">
        <v>54</v>
      </c>
      <c r="K63" s="125" t="s">
        <v>54</v>
      </c>
      <c r="L63" s="125" t="s">
        <v>54</v>
      </c>
      <c r="M63" s="126" t="s">
        <v>54</v>
      </c>
      <c r="N63" s="114" t="s">
        <v>54</v>
      </c>
      <c r="O63" s="94" t="s">
        <v>54</v>
      </c>
      <c r="W63" s="13"/>
      <c r="X63" s="13"/>
    </row>
    <row r="64" spans="1:24" ht="12.75">
      <c r="A64" s="39"/>
      <c r="B64" s="40"/>
      <c r="C64" s="145" t="s">
        <v>44</v>
      </c>
      <c r="D64" s="93" t="s">
        <v>54</v>
      </c>
      <c r="E64" s="125" t="s">
        <v>54</v>
      </c>
      <c r="F64" s="125" t="s">
        <v>54</v>
      </c>
      <c r="G64" s="125" t="s">
        <v>54</v>
      </c>
      <c r="H64" s="126" t="s">
        <v>54</v>
      </c>
      <c r="I64" s="125" t="s">
        <v>54</v>
      </c>
      <c r="J64" s="125" t="s">
        <v>54</v>
      </c>
      <c r="K64" s="125" t="s">
        <v>54</v>
      </c>
      <c r="L64" s="125" t="s">
        <v>54</v>
      </c>
      <c r="M64" s="126" t="s">
        <v>54</v>
      </c>
      <c r="N64" s="114" t="s">
        <v>54</v>
      </c>
      <c r="O64" s="94" t="s">
        <v>54</v>
      </c>
      <c r="W64" s="13"/>
      <c r="X64" s="13"/>
    </row>
    <row r="65" spans="1:24" s="1" customFormat="1" ht="12.75">
      <c r="A65" s="39"/>
      <c r="B65" s="40"/>
      <c r="C65" s="145" t="s">
        <v>37</v>
      </c>
      <c r="D65" s="93" t="s">
        <v>54</v>
      </c>
      <c r="E65" s="125" t="s">
        <v>54</v>
      </c>
      <c r="F65" s="125" t="s">
        <v>54</v>
      </c>
      <c r="G65" s="125" t="s">
        <v>54</v>
      </c>
      <c r="H65" s="126" t="s">
        <v>54</v>
      </c>
      <c r="I65" s="125" t="s">
        <v>54</v>
      </c>
      <c r="J65" s="125" t="s">
        <v>54</v>
      </c>
      <c r="K65" s="125" t="s">
        <v>54</v>
      </c>
      <c r="L65" s="125" t="s">
        <v>54</v>
      </c>
      <c r="M65" s="126" t="s">
        <v>54</v>
      </c>
      <c r="N65" s="114" t="s">
        <v>54</v>
      </c>
      <c r="O65" s="94" t="s">
        <v>54</v>
      </c>
      <c r="P65" s="2"/>
      <c r="Q65" s="2"/>
      <c r="R65" s="2"/>
      <c r="S65" s="2"/>
      <c r="T65" s="2"/>
      <c r="U65" s="2"/>
      <c r="V65" s="2"/>
      <c r="W65" s="2"/>
      <c r="X65" s="2"/>
    </row>
    <row r="66" spans="1:24" s="1" customFormat="1" ht="13.5" thickBot="1">
      <c r="A66" s="109"/>
      <c r="B66" s="87"/>
      <c r="C66" s="146" t="s">
        <v>45</v>
      </c>
      <c r="D66" s="127" t="s">
        <v>54</v>
      </c>
      <c r="E66" s="128" t="s">
        <v>54</v>
      </c>
      <c r="F66" s="128" t="s">
        <v>54</v>
      </c>
      <c r="G66" s="128" t="s">
        <v>54</v>
      </c>
      <c r="H66" s="58" t="s">
        <v>54</v>
      </c>
      <c r="I66" s="128" t="s">
        <v>54</v>
      </c>
      <c r="J66" s="128" t="s">
        <v>54</v>
      </c>
      <c r="K66" s="128" t="s">
        <v>54</v>
      </c>
      <c r="L66" s="128" t="s">
        <v>54</v>
      </c>
      <c r="M66" s="58" t="s">
        <v>54</v>
      </c>
      <c r="N66" s="127" t="s">
        <v>54</v>
      </c>
      <c r="O66" s="129" t="s">
        <v>54</v>
      </c>
      <c r="P66" s="2"/>
      <c r="Q66" s="2"/>
      <c r="R66" s="2"/>
      <c r="S66" s="2"/>
      <c r="T66" s="2"/>
      <c r="U66" s="2"/>
      <c r="V66" s="2"/>
      <c r="W66" s="2"/>
      <c r="X66" s="2"/>
    </row>
    <row r="67" spans="1:24" s="12" customFormat="1" ht="14.25" customHeight="1">
      <c r="A67" s="16"/>
      <c r="B67" s="4" t="s">
        <v>23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0"/>
      <c r="P67" s="11"/>
      <c r="Q67" s="11"/>
      <c r="R67" s="11"/>
      <c r="S67" s="11"/>
      <c r="T67" s="11"/>
      <c r="U67" s="11"/>
      <c r="V67" s="11"/>
      <c r="W67" s="11"/>
      <c r="X67" s="11"/>
    </row>
    <row r="68" spans="1:24" s="12" customFormat="1" ht="14.25" customHeight="1">
      <c r="A68" s="16"/>
      <c r="B68" s="108"/>
      <c r="C68" s="16" t="s">
        <v>79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0"/>
      <c r="P68" s="11"/>
      <c r="Q68" s="11"/>
      <c r="R68" s="11"/>
      <c r="S68" s="11"/>
      <c r="T68" s="11"/>
      <c r="U68" s="11"/>
      <c r="V68" s="11"/>
      <c r="W68" s="11"/>
      <c r="X68" s="11"/>
    </row>
    <row r="69" spans="3:24" s="12" customFormat="1" ht="12.75">
      <c r="C69" s="16" t="s">
        <v>69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0"/>
      <c r="P69" s="11"/>
      <c r="Q69" s="11"/>
      <c r="R69" s="11"/>
      <c r="S69" s="11"/>
      <c r="T69" s="11"/>
      <c r="U69" s="11"/>
      <c r="V69" s="11"/>
      <c r="W69" s="11"/>
      <c r="X69" s="11"/>
    </row>
    <row r="70" spans="3:24" s="12" customFormat="1" ht="12.75">
      <c r="C70" s="187" t="s">
        <v>55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1"/>
      <c r="Q70" s="11"/>
      <c r="R70" s="11"/>
      <c r="S70" s="11"/>
      <c r="T70" s="11"/>
      <c r="U70" s="11"/>
      <c r="V70" s="11"/>
      <c r="W70" s="11"/>
      <c r="X70" s="11"/>
    </row>
    <row r="71" spans="3:22" s="12" customFormat="1" ht="12.75">
      <c r="C71" s="12" t="s">
        <v>24</v>
      </c>
      <c r="H71" s="21"/>
      <c r="M71" s="21"/>
      <c r="O71" s="21"/>
      <c r="P71" s="11"/>
      <c r="Q71" s="11"/>
      <c r="R71" s="11"/>
      <c r="S71" s="11"/>
      <c r="T71" s="11"/>
      <c r="U71" s="11"/>
      <c r="V71" s="11"/>
    </row>
    <row r="72" spans="3:15" ht="12.75" customHeight="1">
      <c r="C72" s="16" t="s">
        <v>91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0"/>
    </row>
    <row r="73" spans="3:15" ht="12.75">
      <c r="C73" s="12" t="s">
        <v>81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20"/>
    </row>
    <row r="74" spans="3:15" ht="12.75">
      <c r="C74" s="14" t="s">
        <v>65</v>
      </c>
      <c r="D74" s="12"/>
      <c r="E74" s="12"/>
      <c r="F74" s="12"/>
      <c r="G74" s="12"/>
      <c r="H74" s="21"/>
      <c r="I74" s="12"/>
      <c r="J74" s="12"/>
      <c r="K74" s="12"/>
      <c r="L74" s="12"/>
      <c r="M74" s="21"/>
      <c r="N74" s="12"/>
      <c r="O74" s="21"/>
    </row>
    <row r="75" spans="3:15" ht="12.75">
      <c r="C75" s="14" t="s">
        <v>72</v>
      </c>
      <c r="D75" s="12"/>
      <c r="E75" s="12"/>
      <c r="F75" s="12"/>
      <c r="G75" s="12"/>
      <c r="H75" s="21"/>
      <c r="I75" s="12"/>
      <c r="J75" s="12"/>
      <c r="K75" s="12"/>
      <c r="L75" s="12"/>
      <c r="M75" s="21"/>
      <c r="N75" s="12"/>
      <c r="O75" s="21"/>
    </row>
  </sheetData>
  <sheetProtection/>
  <mergeCells count="1">
    <mergeCell ref="C70:O70"/>
  </mergeCells>
  <printOptions horizontalCentered="1"/>
  <pageMargins left="0.4" right="0.4" top="0.34" bottom="0.25" header="0.22" footer="0.01"/>
  <pageSetup fitToHeight="2" horizontalDpi="600" verticalDpi="600" orientation="landscape" scale="85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2013-07-02T18:18:15Z</cp:lastPrinted>
  <dcterms:created xsi:type="dcterms:W3CDTF">2003-05-29T18:39:21Z</dcterms:created>
  <dcterms:modified xsi:type="dcterms:W3CDTF">2013-07-02T18:18:29Z</dcterms:modified>
  <cp:category/>
  <cp:version/>
  <cp:contentType/>
  <cp:contentStatus/>
</cp:coreProperties>
</file>